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155" windowWidth="13275" windowHeight="6045"/>
  </bookViews>
  <sheets>
    <sheet name="ตารางที่1" sheetId="1" r:id="rId1"/>
    <sheet name="หมายเหตุ" sheetId="2" r:id="rId2"/>
    <sheet name="ตารางที่ 2" sheetId="14" r:id="rId3"/>
    <sheet name="ตารางที่ 3" sheetId="4" r:id="rId4"/>
    <sheet name="ตารางที่4" sheetId="6" r:id="rId5"/>
    <sheet name="ตารางที่ 5" sheetId="5" r:id="rId6"/>
    <sheet name="ตารางที่6 " sheetId="7" r:id="rId7"/>
    <sheet name="ตารางที่7" sheetId="17" r:id="rId8"/>
    <sheet name="ตารางที่8" sheetId="9" r:id="rId9"/>
    <sheet name="ตารางที่9" sheetId="10" r:id="rId10"/>
    <sheet name="ตารางที่10" sheetId="11" r:id="rId11"/>
    <sheet name="ตารางที่11" sheetId="12" r:id="rId12"/>
    <sheet name="ตารางที่12" sheetId="13" r:id="rId13"/>
  </sheets>
  <definedNames>
    <definedName name="_xlnm._FilterDatabase" localSheetId="3" hidden="1">'ตารางที่ 3'!$R$1:$R$58</definedName>
    <definedName name="_xlnm.Print_Titles" localSheetId="2">'ตารางที่ 2'!$4:$5</definedName>
    <definedName name="_xlnm.Print_Titles" localSheetId="3">'ตารางที่ 3'!$4:$4</definedName>
    <definedName name="_xlnm.Print_Titles" localSheetId="11">ตารางที่11!$4:$6</definedName>
    <definedName name="_xlnm.Print_Titles" localSheetId="7">ตารางที่7!#REF!</definedName>
  </definedNames>
  <calcPr calcId="124519"/>
  <fileRecoveryPr autoRecover="0"/>
</workbook>
</file>

<file path=xl/calcChain.xml><?xml version="1.0" encoding="utf-8"?>
<calcChain xmlns="http://schemas.openxmlformats.org/spreadsheetml/2006/main">
  <c r="T11" i="11"/>
  <c r="O11"/>
  <c r="R11" s="1"/>
  <c r="U11" s="1"/>
  <c r="C11"/>
  <c r="G11" s="1"/>
  <c r="S11" s="1"/>
  <c r="T10"/>
  <c r="S10"/>
  <c r="R10"/>
  <c r="U10" s="1"/>
  <c r="O10"/>
  <c r="T9"/>
  <c r="S9"/>
  <c r="O9"/>
  <c r="R9" s="1"/>
  <c r="U9" s="1"/>
  <c r="T8"/>
  <c r="O8"/>
  <c r="R8" s="1"/>
  <c r="U8" s="1"/>
  <c r="T7"/>
  <c r="O7"/>
  <c r="C7"/>
  <c r="G7" s="1"/>
  <c r="J7" s="1"/>
  <c r="T6"/>
  <c r="O6"/>
  <c r="S6" s="1"/>
  <c r="S8" i="10"/>
  <c r="T8"/>
  <c r="U8"/>
  <c r="S9"/>
  <c r="T9"/>
  <c r="U9"/>
  <c r="S10"/>
  <c r="T10"/>
  <c r="U10"/>
  <c r="S11"/>
  <c r="T11"/>
  <c r="U11"/>
  <c r="S6"/>
  <c r="T6"/>
  <c r="U6"/>
  <c r="G7"/>
  <c r="J7" s="1"/>
  <c r="G11"/>
  <c r="C7"/>
  <c r="C11"/>
  <c r="G37" i="17"/>
  <c r="G38"/>
  <c r="J38" s="1"/>
  <c r="U38" s="1"/>
  <c r="S38"/>
  <c r="T38"/>
  <c r="G39"/>
  <c r="J39"/>
  <c r="O39"/>
  <c r="S39" s="1"/>
  <c r="T39"/>
  <c r="U39"/>
  <c r="G40"/>
  <c r="S40" s="1"/>
  <c r="O40"/>
  <c r="T40"/>
  <c r="G41"/>
  <c r="J41"/>
  <c r="O41"/>
  <c r="S41" s="1"/>
  <c r="T41"/>
  <c r="U41"/>
  <c r="E13"/>
  <c r="G7" i="9"/>
  <c r="C7"/>
  <c r="C17"/>
  <c r="S7" i="11" l="1"/>
  <c r="S8"/>
  <c r="R6"/>
  <c r="U6" s="1"/>
  <c r="R7"/>
  <c r="U7" s="1"/>
  <c r="J40" i="17"/>
  <c r="U40" s="1"/>
  <c r="R7" i="9" l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R6"/>
  <c r="U21"/>
  <c r="U22"/>
  <c r="C85" i="17" l="1"/>
  <c r="C88" s="1"/>
  <c r="C86"/>
  <c r="D88"/>
  <c r="E88"/>
  <c r="F88"/>
  <c r="G88"/>
  <c r="C87"/>
  <c r="G87"/>
  <c r="C83"/>
  <c r="C84" s="1"/>
  <c r="D80"/>
  <c r="E80"/>
  <c r="F80"/>
  <c r="C80"/>
  <c r="G79"/>
  <c r="G78"/>
  <c r="G77"/>
  <c r="G80" s="1"/>
  <c r="F12" l="1"/>
  <c r="E12"/>
  <c r="D12"/>
  <c r="C12"/>
  <c r="G13" l="1"/>
  <c r="T59" l="1"/>
  <c r="G18" l="1"/>
  <c r="G17"/>
  <c r="D68"/>
  <c r="F67"/>
  <c r="E73"/>
  <c r="E68" s="1"/>
  <c r="F73"/>
  <c r="F68" s="1"/>
  <c r="D73"/>
  <c r="D67" s="1"/>
  <c r="C73"/>
  <c r="C68" s="1"/>
  <c r="C67" l="1"/>
  <c r="E67"/>
  <c r="D27" i="2"/>
  <c r="D19" i="17" l="1"/>
  <c r="E19"/>
  <c r="F19"/>
  <c r="D20"/>
  <c r="E20"/>
  <c r="F20"/>
  <c r="G21"/>
  <c r="C50" i="4"/>
  <c r="C24"/>
  <c r="C12"/>
  <c r="N104" i="14" l="1"/>
  <c r="O104"/>
  <c r="P104"/>
  <c r="Q104"/>
  <c r="R104"/>
  <c r="S104"/>
  <c r="T104"/>
  <c r="Q8" i="12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K12" i="17" l="1"/>
  <c r="O12" s="1"/>
  <c r="O32"/>
  <c r="O33"/>
  <c r="O34"/>
  <c r="O35"/>
  <c r="O36"/>
  <c r="O37"/>
  <c r="O31"/>
  <c r="O61"/>
  <c r="L60"/>
  <c r="M60"/>
  <c r="N60"/>
  <c r="K60"/>
  <c r="O25"/>
  <c r="O7"/>
  <c r="O8"/>
  <c r="O9"/>
  <c r="O10"/>
  <c r="O11"/>
  <c r="O13"/>
  <c r="O14"/>
  <c r="O15"/>
  <c r="O16"/>
  <c r="O17"/>
  <c r="O18"/>
  <c r="O19"/>
  <c r="O20"/>
  <c r="O21"/>
  <c r="O22"/>
  <c r="O23"/>
  <c r="O24"/>
  <c r="O6"/>
  <c r="G5" i="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6" i="7"/>
  <c r="G7"/>
  <c r="G8"/>
  <c r="G9"/>
  <c r="G10"/>
  <c r="G11"/>
  <c r="G12"/>
  <c r="G5"/>
  <c r="T46" i="17" l="1"/>
  <c r="E7" i="13" l="1"/>
  <c r="E8"/>
  <c r="E9"/>
  <c r="E10"/>
  <c r="E11"/>
  <c r="E12"/>
  <c r="E13"/>
  <c r="E14"/>
  <c r="V92" i="12"/>
  <c r="V106" s="1"/>
  <c r="W92"/>
  <c r="W106" s="1"/>
  <c r="AA95"/>
  <c r="AA96"/>
  <c r="AA97"/>
  <c r="AA98"/>
  <c r="AA99"/>
  <c r="AA100"/>
  <c r="AA101"/>
  <c r="AA102"/>
  <c r="AA103"/>
  <c r="AA104"/>
  <c r="AA94"/>
  <c r="Q95"/>
  <c r="Q96"/>
  <c r="Q97"/>
  <c r="Q98"/>
  <c r="Q99"/>
  <c r="Q100"/>
  <c r="Q101"/>
  <c r="Q102"/>
  <c r="Q103"/>
  <c r="Q104"/>
  <c r="Q94"/>
  <c r="P105"/>
  <c r="R105"/>
  <c r="S105"/>
  <c r="T105"/>
  <c r="U105"/>
  <c r="W105"/>
  <c r="X105"/>
  <c r="Y105"/>
  <c r="Z105"/>
  <c r="O105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8"/>
  <c r="Q92"/>
  <c r="P92"/>
  <c r="R92"/>
  <c r="S92"/>
  <c r="T92"/>
  <c r="U92"/>
  <c r="X92"/>
  <c r="Y92"/>
  <c r="Z92"/>
  <c r="O92"/>
  <c r="G13" i="10"/>
  <c r="D12"/>
  <c r="E12"/>
  <c r="F12"/>
  <c r="G12"/>
  <c r="C12"/>
  <c r="O13"/>
  <c r="O7"/>
  <c r="O8"/>
  <c r="O9"/>
  <c r="O10"/>
  <c r="O11"/>
  <c r="O6"/>
  <c r="J6" i="9"/>
  <c r="G9"/>
  <c r="G10"/>
  <c r="O7"/>
  <c r="O8"/>
  <c r="O9"/>
  <c r="O10"/>
  <c r="S10" s="1"/>
  <c r="O11"/>
  <c r="S11" s="1"/>
  <c r="O12"/>
  <c r="S12" s="1"/>
  <c r="O13"/>
  <c r="O14"/>
  <c r="S14" s="1"/>
  <c r="O15"/>
  <c r="O16"/>
  <c r="S16" s="1"/>
  <c r="O17"/>
  <c r="S17" s="1"/>
  <c r="O18"/>
  <c r="S18" s="1"/>
  <c r="O19"/>
  <c r="S19" s="1"/>
  <c r="O20"/>
  <c r="S20" s="1"/>
  <c r="O21"/>
  <c r="O22"/>
  <c r="S22" s="1"/>
  <c r="O23"/>
  <c r="O24"/>
  <c r="S24" s="1"/>
  <c r="O25"/>
  <c r="O6"/>
  <c r="J23" i="5"/>
  <c r="O27" i="9"/>
  <c r="L26"/>
  <c r="L28" s="1"/>
  <c r="M26"/>
  <c r="M28" s="1"/>
  <c r="N26"/>
  <c r="N28" s="1"/>
  <c r="K26"/>
  <c r="K28" s="1"/>
  <c r="T8"/>
  <c r="T9"/>
  <c r="T10"/>
  <c r="T11"/>
  <c r="T12"/>
  <c r="T13"/>
  <c r="T14"/>
  <c r="T15"/>
  <c r="T16"/>
  <c r="T17"/>
  <c r="T18"/>
  <c r="T19"/>
  <c r="T20"/>
  <c r="T21"/>
  <c r="T22"/>
  <c r="T23"/>
  <c r="T24"/>
  <c r="T6"/>
  <c r="S7"/>
  <c r="S9"/>
  <c r="S13"/>
  <c r="S15"/>
  <c r="S21"/>
  <c r="S23"/>
  <c r="D11" i="6"/>
  <c r="D13" s="1"/>
  <c r="E11"/>
  <c r="E13" s="1"/>
  <c r="F11"/>
  <c r="F13" s="1"/>
  <c r="C11"/>
  <c r="AA105" i="12" l="1"/>
  <c r="O26" i="9"/>
  <c r="O28" s="1"/>
  <c r="Q105" i="12"/>
  <c r="AA92"/>
  <c r="S6" i="9"/>
  <c r="S8"/>
  <c r="G51" i="4"/>
  <c r="J51"/>
  <c r="D50"/>
  <c r="E50"/>
  <c r="F50"/>
  <c r="D24"/>
  <c r="D52" s="1"/>
  <c r="E24"/>
  <c r="F24"/>
  <c r="L29" i="17"/>
  <c r="M29"/>
  <c r="N29"/>
  <c r="K29"/>
  <c r="O29" l="1"/>
  <c r="F52" i="4"/>
  <c r="E52"/>
  <c r="C52"/>
  <c r="G52" s="1"/>
  <c r="F24" i="17"/>
  <c r="E24"/>
  <c r="D24"/>
  <c r="C24"/>
  <c r="C19" l="1"/>
  <c r="C20"/>
  <c r="G20" s="1"/>
  <c r="C29" l="1"/>
  <c r="G19"/>
  <c r="T10"/>
  <c r="T52"/>
  <c r="T53"/>
  <c r="T54"/>
  <c r="T55"/>
  <c r="T56"/>
  <c r="T57"/>
  <c r="T58"/>
  <c r="O57" l="1"/>
  <c r="O58"/>
  <c r="O59"/>
  <c r="O55"/>
  <c r="O56"/>
  <c r="R59" l="1"/>
  <c r="R57"/>
  <c r="R56"/>
  <c r="R58"/>
  <c r="R55"/>
  <c r="G7" i="4"/>
  <c r="J7" s="1"/>
  <c r="G6"/>
  <c r="J6" s="1"/>
  <c r="R32" i="17" l="1"/>
  <c r="R33"/>
  <c r="R34"/>
  <c r="R35"/>
  <c r="R36"/>
  <c r="R37"/>
  <c r="O42"/>
  <c r="R42" s="1"/>
  <c r="O43"/>
  <c r="R43" s="1"/>
  <c r="O44"/>
  <c r="R44" s="1"/>
  <c r="O45"/>
  <c r="R45" s="1"/>
  <c r="O46"/>
  <c r="O47"/>
  <c r="R47" s="1"/>
  <c r="O48"/>
  <c r="R48" s="1"/>
  <c r="O49"/>
  <c r="R49" s="1"/>
  <c r="O50"/>
  <c r="R50" s="1"/>
  <c r="O51"/>
  <c r="R51" s="1"/>
  <c r="O52"/>
  <c r="O53"/>
  <c r="O54"/>
  <c r="R7"/>
  <c r="R8"/>
  <c r="R9"/>
  <c r="R11"/>
  <c r="R12"/>
  <c r="R13"/>
  <c r="R14"/>
  <c r="R15"/>
  <c r="R16"/>
  <c r="R17"/>
  <c r="R18"/>
  <c r="R20"/>
  <c r="R21"/>
  <c r="R24"/>
  <c r="R25"/>
  <c r="R6"/>
  <c r="R31" l="1"/>
  <c r="O60"/>
  <c r="R46"/>
  <c r="R19"/>
  <c r="S19"/>
  <c r="R54"/>
  <c r="R53"/>
  <c r="R52"/>
  <c r="K62"/>
  <c r="M62"/>
  <c r="N62"/>
  <c r="L62"/>
  <c r="T31"/>
  <c r="T32"/>
  <c r="T33"/>
  <c r="T34"/>
  <c r="T35"/>
  <c r="T36"/>
  <c r="T37"/>
  <c r="T42"/>
  <c r="T43"/>
  <c r="T44"/>
  <c r="T45"/>
  <c r="T47"/>
  <c r="T48"/>
  <c r="T49"/>
  <c r="T50"/>
  <c r="T51"/>
  <c r="T22"/>
  <c r="T23"/>
  <c r="T24"/>
  <c r="T25"/>
  <c r="T26"/>
  <c r="T27"/>
  <c r="T28"/>
  <c r="T15"/>
  <c r="T16"/>
  <c r="T17"/>
  <c r="T18"/>
  <c r="T19"/>
  <c r="T20"/>
  <c r="T21"/>
  <c r="T7"/>
  <c r="T8"/>
  <c r="T9"/>
  <c r="T11"/>
  <c r="T12"/>
  <c r="T13"/>
  <c r="T14"/>
  <c r="T6"/>
  <c r="D24" i="5"/>
  <c r="E24"/>
  <c r="F24"/>
  <c r="C24"/>
  <c r="G8" i="4"/>
  <c r="J8" s="1"/>
  <c r="G9"/>
  <c r="J9" s="1"/>
  <c r="G10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D91" i="14"/>
  <c r="E91"/>
  <c r="F91"/>
  <c r="G91"/>
  <c r="H91"/>
  <c r="I91"/>
  <c r="J91"/>
  <c r="K91"/>
  <c r="L91"/>
  <c r="L105" s="1"/>
  <c r="M91"/>
  <c r="N36"/>
  <c r="N37"/>
  <c r="I105"/>
  <c r="U104"/>
  <c r="V104"/>
  <c r="O91"/>
  <c r="P91"/>
  <c r="Q91"/>
  <c r="R91"/>
  <c r="S91"/>
  <c r="T91"/>
  <c r="U91"/>
  <c r="V91"/>
  <c r="V105" s="1"/>
  <c r="G14" i="13" s="1"/>
  <c r="H14" s="1"/>
  <c r="W8" i="14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8"/>
  <c r="N39"/>
  <c r="N40"/>
  <c r="X40" s="1"/>
  <c r="N41"/>
  <c r="N42"/>
  <c r="N43"/>
  <c r="N44"/>
  <c r="X44" s="1"/>
  <c r="N45"/>
  <c r="N46"/>
  <c r="N47"/>
  <c r="N48"/>
  <c r="X48" s="1"/>
  <c r="N49"/>
  <c r="N50"/>
  <c r="N51"/>
  <c r="N52"/>
  <c r="X52" s="1"/>
  <c r="N53"/>
  <c r="N54"/>
  <c r="N55"/>
  <c r="N56"/>
  <c r="X56" s="1"/>
  <c r="N57"/>
  <c r="N58"/>
  <c r="N59"/>
  <c r="N60"/>
  <c r="X60" s="1"/>
  <c r="N61"/>
  <c r="N62"/>
  <c r="N63"/>
  <c r="N64"/>
  <c r="X64" s="1"/>
  <c r="N65"/>
  <c r="N66"/>
  <c r="N67"/>
  <c r="N68"/>
  <c r="X68" s="1"/>
  <c r="N69"/>
  <c r="N70"/>
  <c r="N71"/>
  <c r="N72"/>
  <c r="X72" s="1"/>
  <c r="N73"/>
  <c r="N74"/>
  <c r="N75"/>
  <c r="N76"/>
  <c r="X76" s="1"/>
  <c r="N77"/>
  <c r="N78"/>
  <c r="N79"/>
  <c r="N80"/>
  <c r="X80" s="1"/>
  <c r="N81"/>
  <c r="N82"/>
  <c r="N83"/>
  <c r="N84"/>
  <c r="X84" s="1"/>
  <c r="N85"/>
  <c r="N86"/>
  <c r="N87"/>
  <c r="N88"/>
  <c r="X88" s="1"/>
  <c r="N89"/>
  <c r="N90"/>
  <c r="N7"/>
  <c r="D28" i="2"/>
  <c r="G24" i="4" l="1"/>
  <c r="X89" i="14"/>
  <c r="X85"/>
  <c r="X81"/>
  <c r="X77"/>
  <c r="X73"/>
  <c r="X32"/>
  <c r="X28"/>
  <c r="X24"/>
  <c r="X20"/>
  <c r="X16"/>
  <c r="X12"/>
  <c r="X8"/>
  <c r="X33"/>
  <c r="X29"/>
  <c r="X25"/>
  <c r="X21"/>
  <c r="X17"/>
  <c r="X13"/>
  <c r="X9"/>
  <c r="X7"/>
  <c r="X87"/>
  <c r="X83"/>
  <c r="X79"/>
  <c r="X75"/>
  <c r="X71"/>
  <c r="X67"/>
  <c r="X63"/>
  <c r="X59"/>
  <c r="X55"/>
  <c r="X51"/>
  <c r="X47"/>
  <c r="X43"/>
  <c r="X39"/>
  <c r="X35"/>
  <c r="X31"/>
  <c r="X27"/>
  <c r="X23"/>
  <c r="X19"/>
  <c r="X15"/>
  <c r="X11"/>
  <c r="X36"/>
  <c r="X90"/>
  <c r="X86"/>
  <c r="X82"/>
  <c r="X78"/>
  <c r="X74"/>
  <c r="X70"/>
  <c r="X66"/>
  <c r="X62"/>
  <c r="X58"/>
  <c r="X54"/>
  <c r="X50"/>
  <c r="X46"/>
  <c r="X42"/>
  <c r="X38"/>
  <c r="X34"/>
  <c r="X30"/>
  <c r="X26"/>
  <c r="X22"/>
  <c r="X18"/>
  <c r="X14"/>
  <c r="X10"/>
  <c r="X69"/>
  <c r="X65"/>
  <c r="X61"/>
  <c r="X57"/>
  <c r="X53"/>
  <c r="X49"/>
  <c r="X45"/>
  <c r="X41"/>
  <c r="X37"/>
  <c r="W91"/>
  <c r="T7" i="10" l="1"/>
  <c r="N95" i="12"/>
  <c r="N96"/>
  <c r="N97"/>
  <c r="N98"/>
  <c r="N99"/>
  <c r="N100"/>
  <c r="N101"/>
  <c r="N102"/>
  <c r="N103"/>
  <c r="N104"/>
  <c r="N105"/>
  <c r="N94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"/>
  <c r="N10"/>
  <c r="N11"/>
  <c r="N12"/>
  <c r="N8"/>
  <c r="AD101"/>
  <c r="AD15"/>
  <c r="AD19"/>
  <c r="AD23"/>
  <c r="AD27"/>
  <c r="AD31"/>
  <c r="AD35"/>
  <c r="AD39"/>
  <c r="AD43"/>
  <c r="AD47"/>
  <c r="AD51"/>
  <c r="AD55"/>
  <c r="AD59"/>
  <c r="AD63"/>
  <c r="AD67"/>
  <c r="AD71"/>
  <c r="AD75"/>
  <c r="AD79"/>
  <c r="AD83"/>
  <c r="AD87"/>
  <c r="AD91"/>
  <c r="AB8"/>
  <c r="AD103"/>
  <c r="AD104"/>
  <c r="AD98"/>
  <c r="AD94"/>
  <c r="AD97"/>
  <c r="AD102"/>
  <c r="AD12"/>
  <c r="AD13"/>
  <c r="AD14"/>
  <c r="AD16"/>
  <c r="AD17"/>
  <c r="AD18"/>
  <c r="AD20"/>
  <c r="AD21"/>
  <c r="AD22"/>
  <c r="AD24"/>
  <c r="AD25"/>
  <c r="AD26"/>
  <c r="AD28"/>
  <c r="AD29"/>
  <c r="AD30"/>
  <c r="AD32"/>
  <c r="AD33"/>
  <c r="AD34"/>
  <c r="AD36"/>
  <c r="AD37"/>
  <c r="AD38"/>
  <c r="AD40"/>
  <c r="AD41"/>
  <c r="AD42"/>
  <c r="AD44"/>
  <c r="AD45"/>
  <c r="AD46"/>
  <c r="AD48"/>
  <c r="AD49"/>
  <c r="AD50"/>
  <c r="AD52"/>
  <c r="AD53"/>
  <c r="AD54"/>
  <c r="AD56"/>
  <c r="AD57"/>
  <c r="AD58"/>
  <c r="AD60"/>
  <c r="AD61"/>
  <c r="AD62"/>
  <c r="AD64"/>
  <c r="AD65"/>
  <c r="AD66"/>
  <c r="AD68"/>
  <c r="AD69"/>
  <c r="AD70"/>
  <c r="AD72"/>
  <c r="AD73"/>
  <c r="AD74"/>
  <c r="AD76"/>
  <c r="AD77"/>
  <c r="AD78"/>
  <c r="AD80"/>
  <c r="AD81"/>
  <c r="AD82"/>
  <c r="AD84"/>
  <c r="AD85"/>
  <c r="AD86"/>
  <c r="AD88"/>
  <c r="AD89"/>
  <c r="AD90"/>
  <c r="AD9"/>
  <c r="AD10"/>
  <c r="AD11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8"/>
  <c r="AB12"/>
  <c r="AB15"/>
  <c r="AB16"/>
  <c r="AB19"/>
  <c r="AB20"/>
  <c r="AB23"/>
  <c r="AE23" s="1"/>
  <c r="AB24"/>
  <c r="AE24" s="1"/>
  <c r="AB27"/>
  <c r="AE27" s="1"/>
  <c r="AB28"/>
  <c r="AB31"/>
  <c r="AE31" s="1"/>
  <c r="AB32"/>
  <c r="AB35"/>
  <c r="AB36"/>
  <c r="AB37"/>
  <c r="AE37" s="1"/>
  <c r="AB39"/>
  <c r="AE39" s="1"/>
  <c r="AB40"/>
  <c r="AE40" s="1"/>
  <c r="AB41"/>
  <c r="AE41" s="1"/>
  <c r="AB48"/>
  <c r="AB49"/>
  <c r="AE49" s="1"/>
  <c r="AB51"/>
  <c r="AE51" s="1"/>
  <c r="AB52"/>
  <c r="AB55"/>
  <c r="AB56"/>
  <c r="AB57"/>
  <c r="AB59"/>
  <c r="AB60"/>
  <c r="AE60" s="1"/>
  <c r="AB63"/>
  <c r="AE63" s="1"/>
  <c r="AB64"/>
  <c r="AE64" s="1"/>
  <c r="AB65"/>
  <c r="AE65" s="1"/>
  <c r="AB67"/>
  <c r="AB68"/>
  <c r="AB71"/>
  <c r="AB74"/>
  <c r="AB78"/>
  <c r="AB79"/>
  <c r="AB80"/>
  <c r="AE80" s="1"/>
  <c r="AB84"/>
  <c r="AE84" s="1"/>
  <c r="AB88"/>
  <c r="AE8" l="1"/>
  <c r="AE67"/>
  <c r="AD100"/>
  <c r="AD96"/>
  <c r="AD95"/>
  <c r="AB83"/>
  <c r="AE83" s="1"/>
  <c r="AD8"/>
  <c r="AE74"/>
  <c r="AE56"/>
  <c r="AE71"/>
  <c r="AE55"/>
  <c r="AE48"/>
  <c r="AE35"/>
  <c r="AE28"/>
  <c r="AE19"/>
  <c r="AE12"/>
  <c r="AE15"/>
  <c r="AE36"/>
  <c r="AE20"/>
  <c r="AE88"/>
  <c r="AE79"/>
  <c r="AE78"/>
  <c r="AE68"/>
  <c r="AE59"/>
  <c r="AE57"/>
  <c r="AE52"/>
  <c r="AE32"/>
  <c r="AE16"/>
  <c r="AB91"/>
  <c r="AE91" s="1"/>
  <c r="AB87"/>
  <c r="AE87" s="1"/>
  <c r="AB76"/>
  <c r="AE76" s="1"/>
  <c r="AB47"/>
  <c r="AE47" s="1"/>
  <c r="AB44"/>
  <c r="AE44" s="1"/>
  <c r="AB33"/>
  <c r="AE33" s="1"/>
  <c r="AB29"/>
  <c r="AE29" s="1"/>
  <c r="AB25"/>
  <c r="AE25" s="1"/>
  <c r="AB21"/>
  <c r="AE21" s="1"/>
  <c r="AB17"/>
  <c r="AE17" s="1"/>
  <c r="AB11"/>
  <c r="AE11" s="1"/>
  <c r="AB85"/>
  <c r="AE85" s="1"/>
  <c r="AB82"/>
  <c r="AE82" s="1"/>
  <c r="AB90"/>
  <c r="AE90" s="1"/>
  <c r="AB9"/>
  <c r="AE9" s="1"/>
  <c r="AB86"/>
  <c r="AE86" s="1"/>
  <c r="AB89"/>
  <c r="AE89" s="1"/>
  <c r="AB81"/>
  <c r="AE81" s="1"/>
  <c r="AB77"/>
  <c r="AE77" s="1"/>
  <c r="AB73"/>
  <c r="AE73" s="1"/>
  <c r="AB72"/>
  <c r="AE72" s="1"/>
  <c r="AB70"/>
  <c r="AE70" s="1"/>
  <c r="AB69"/>
  <c r="AE69" s="1"/>
  <c r="AB62"/>
  <c r="AE62" s="1"/>
  <c r="AB61"/>
  <c r="AE61" s="1"/>
  <c r="AB54"/>
  <c r="AE54" s="1"/>
  <c r="AB53"/>
  <c r="AE53" s="1"/>
  <c r="AB46"/>
  <c r="AE46" s="1"/>
  <c r="AB45"/>
  <c r="AE45" s="1"/>
  <c r="AB75"/>
  <c r="AE75" s="1"/>
  <c r="AB66"/>
  <c r="AE66" s="1"/>
  <c r="AB58"/>
  <c r="AE58" s="1"/>
  <c r="AB50"/>
  <c r="AE50" s="1"/>
  <c r="AB43"/>
  <c r="AE43" s="1"/>
  <c r="AB42"/>
  <c r="AE42" s="1"/>
  <c r="AB38"/>
  <c r="AE38" s="1"/>
  <c r="AB34"/>
  <c r="AE34" s="1"/>
  <c r="AB30"/>
  <c r="AE30" s="1"/>
  <c r="AB26"/>
  <c r="AE26" s="1"/>
  <c r="AB22"/>
  <c r="AE22" s="1"/>
  <c r="AB18"/>
  <c r="AE18" s="1"/>
  <c r="AB14"/>
  <c r="AE14" s="1"/>
  <c r="AB10"/>
  <c r="AE10" s="1"/>
  <c r="AB13"/>
  <c r="AE13" s="1"/>
  <c r="V7" i="9"/>
  <c r="W7" s="1"/>
  <c r="V8"/>
  <c r="X8" s="1"/>
  <c r="V9"/>
  <c r="X9" s="1"/>
  <c r="V10"/>
  <c r="X10" s="1"/>
  <c r="V11"/>
  <c r="W11" s="1"/>
  <c r="V12"/>
  <c r="X12" s="1"/>
  <c r="V13"/>
  <c r="X13" s="1"/>
  <c r="V14"/>
  <c r="X14" s="1"/>
  <c r="V15"/>
  <c r="X15" s="1"/>
  <c r="V16"/>
  <c r="X16" s="1"/>
  <c r="V17"/>
  <c r="X17" s="1"/>
  <c r="V18"/>
  <c r="X18" s="1"/>
  <c r="V19"/>
  <c r="W19" s="1"/>
  <c r="V20"/>
  <c r="X20" s="1"/>
  <c r="V21"/>
  <c r="X21" s="1"/>
  <c r="V22"/>
  <c r="X22" s="1"/>
  <c r="V23"/>
  <c r="X23" s="1"/>
  <c r="V24"/>
  <c r="X24" s="1"/>
  <c r="V25"/>
  <c r="X25" s="1"/>
  <c r="V6"/>
  <c r="W6" s="1"/>
  <c r="AB92" i="12" l="1"/>
  <c r="W12" i="9"/>
  <c r="W9"/>
  <c r="W8"/>
  <c r="W18"/>
  <c r="W10"/>
  <c r="W24"/>
  <c r="W20"/>
  <c r="W16"/>
  <c r="X6"/>
  <c r="W23"/>
  <c r="W15"/>
  <c r="X19"/>
  <c r="X11"/>
  <c r="W22"/>
  <c r="W14"/>
  <c r="X7"/>
  <c r="W25"/>
  <c r="W21"/>
  <c r="W17"/>
  <c r="W13"/>
  <c r="U11" l="1"/>
  <c r="U24" l="1"/>
  <c r="U23"/>
  <c r="U20"/>
  <c r="U19"/>
  <c r="U18"/>
  <c r="U17"/>
  <c r="U16"/>
  <c r="U15"/>
  <c r="U14"/>
  <c r="U13"/>
  <c r="U12"/>
  <c r="U10"/>
  <c r="U9"/>
  <c r="U8"/>
  <c r="T7"/>
  <c r="U7"/>
  <c r="U6"/>
  <c r="G61" i="17"/>
  <c r="J61" s="1"/>
  <c r="F60"/>
  <c r="E60"/>
  <c r="C60"/>
  <c r="G59"/>
  <c r="S59" s="1"/>
  <c r="G58"/>
  <c r="S58" s="1"/>
  <c r="G57"/>
  <c r="S57" s="1"/>
  <c r="G56"/>
  <c r="S56" s="1"/>
  <c r="G55"/>
  <c r="S55" s="1"/>
  <c r="G54"/>
  <c r="S54" s="1"/>
  <c r="G53"/>
  <c r="S53" s="1"/>
  <c r="G52"/>
  <c r="S52" s="1"/>
  <c r="G51"/>
  <c r="S51" s="1"/>
  <c r="G50"/>
  <c r="G49"/>
  <c r="S49" s="1"/>
  <c r="G48"/>
  <c r="G47"/>
  <c r="S47" s="1"/>
  <c r="G46"/>
  <c r="S46" s="1"/>
  <c r="G45"/>
  <c r="S45" s="1"/>
  <c r="G44"/>
  <c r="G43"/>
  <c r="S43" s="1"/>
  <c r="G42"/>
  <c r="S37"/>
  <c r="G36"/>
  <c r="G35"/>
  <c r="S35" s="1"/>
  <c r="G34"/>
  <c r="G33"/>
  <c r="G32"/>
  <c r="S32" s="1"/>
  <c r="G31"/>
  <c r="F29"/>
  <c r="E29"/>
  <c r="D29"/>
  <c r="G28"/>
  <c r="G27"/>
  <c r="S27" s="1"/>
  <c r="G26"/>
  <c r="G25"/>
  <c r="S25" s="1"/>
  <c r="G24"/>
  <c r="S24" s="1"/>
  <c r="G23"/>
  <c r="G22"/>
  <c r="S22" s="1"/>
  <c r="S21"/>
  <c r="S20"/>
  <c r="S18"/>
  <c r="S17"/>
  <c r="G16"/>
  <c r="S16" s="1"/>
  <c r="G15"/>
  <c r="S15" s="1"/>
  <c r="G14"/>
  <c r="S14" s="1"/>
  <c r="G12"/>
  <c r="S12" s="1"/>
  <c r="G11"/>
  <c r="S11" s="1"/>
  <c r="S10"/>
  <c r="G9"/>
  <c r="G8"/>
  <c r="S8" s="1"/>
  <c r="G7"/>
  <c r="G6"/>
  <c r="G29" l="1"/>
  <c r="S6"/>
  <c r="J6"/>
  <c r="E62"/>
  <c r="J26"/>
  <c r="U26" s="1"/>
  <c r="S26"/>
  <c r="J43"/>
  <c r="U43" s="1"/>
  <c r="J19"/>
  <c r="U19" s="1"/>
  <c r="J23"/>
  <c r="U23" s="1"/>
  <c r="S23"/>
  <c r="J33"/>
  <c r="U33" s="1"/>
  <c r="S33"/>
  <c r="J44"/>
  <c r="U44" s="1"/>
  <c r="S44"/>
  <c r="J48"/>
  <c r="U48" s="1"/>
  <c r="S48"/>
  <c r="J54"/>
  <c r="U54" s="1"/>
  <c r="J21"/>
  <c r="U21" s="1"/>
  <c r="J7"/>
  <c r="U7" s="1"/>
  <c r="S7"/>
  <c r="J15"/>
  <c r="U15" s="1"/>
  <c r="J36"/>
  <c r="U36" s="1"/>
  <c r="S36"/>
  <c r="J56"/>
  <c r="U56" s="1"/>
  <c r="J9"/>
  <c r="U9" s="1"/>
  <c r="S9"/>
  <c r="J13"/>
  <c r="U13" s="1"/>
  <c r="S13"/>
  <c r="J17"/>
  <c r="U17" s="1"/>
  <c r="J28"/>
  <c r="U28" s="1"/>
  <c r="S28"/>
  <c r="F62"/>
  <c r="J34"/>
  <c r="U34" s="1"/>
  <c r="S34"/>
  <c r="J42"/>
  <c r="U42" s="1"/>
  <c r="S42"/>
  <c r="J51"/>
  <c r="U51" s="1"/>
  <c r="J55"/>
  <c r="U55" s="1"/>
  <c r="J58"/>
  <c r="U58" s="1"/>
  <c r="J31"/>
  <c r="U31" s="1"/>
  <c r="S31"/>
  <c r="J46"/>
  <c r="U46" s="1"/>
  <c r="J50"/>
  <c r="U50" s="1"/>
  <c r="S50"/>
  <c r="J52"/>
  <c r="U52" s="1"/>
  <c r="J11"/>
  <c r="U11" s="1"/>
  <c r="J24"/>
  <c r="U24" s="1"/>
  <c r="J27"/>
  <c r="U27" s="1"/>
  <c r="J32"/>
  <c r="U32" s="1"/>
  <c r="J12"/>
  <c r="U12" s="1"/>
  <c r="J20"/>
  <c r="U20" s="1"/>
  <c r="J47"/>
  <c r="U47" s="1"/>
  <c r="J16"/>
  <c r="U16" s="1"/>
  <c r="J18"/>
  <c r="U18" s="1"/>
  <c r="J35"/>
  <c r="U35" s="1"/>
  <c r="J57"/>
  <c r="U57" s="1"/>
  <c r="J8"/>
  <c r="U8" s="1"/>
  <c r="C62"/>
  <c r="U6"/>
  <c r="J10"/>
  <c r="U10" s="1"/>
  <c r="J14"/>
  <c r="U14" s="1"/>
  <c r="U22"/>
  <c r="J25"/>
  <c r="U25" s="1"/>
  <c r="J37"/>
  <c r="U37" s="1"/>
  <c r="J45"/>
  <c r="U45" s="1"/>
  <c r="J49"/>
  <c r="U49" s="1"/>
  <c r="J53"/>
  <c r="U53" s="1"/>
  <c r="J59"/>
  <c r="U59" s="1"/>
  <c r="D14" i="10"/>
  <c r="E14"/>
  <c r="F14"/>
  <c r="G14" l="1"/>
  <c r="C14"/>
  <c r="AC94" i="12"/>
  <c r="P106"/>
  <c r="T106"/>
  <c r="U106"/>
  <c r="X106"/>
  <c r="Z106"/>
  <c r="O106"/>
  <c r="AB95" l="1"/>
  <c r="AE95" s="1"/>
  <c r="AC95"/>
  <c r="AB101"/>
  <c r="AE101" s="1"/>
  <c r="AC101"/>
  <c r="AB97"/>
  <c r="AE97" s="1"/>
  <c r="AC97"/>
  <c r="AB104"/>
  <c r="AE104" s="1"/>
  <c r="AC104"/>
  <c r="AB100"/>
  <c r="AE100" s="1"/>
  <c r="AC100"/>
  <c r="AB96"/>
  <c r="AE96" s="1"/>
  <c r="AC96"/>
  <c r="AB103"/>
  <c r="AE103" s="1"/>
  <c r="AC103"/>
  <c r="AB99"/>
  <c r="AC99"/>
  <c r="AB102"/>
  <c r="AE102" s="1"/>
  <c r="AC102"/>
  <c r="AB98"/>
  <c r="AE98" s="1"/>
  <c r="AC98"/>
  <c r="R106"/>
  <c r="S106"/>
  <c r="AB94"/>
  <c r="R8" i="10"/>
  <c r="R6"/>
  <c r="AE94" i="12" l="1"/>
  <c r="AB105"/>
  <c r="R9" i="10"/>
  <c r="R10"/>
  <c r="R7"/>
  <c r="U7" s="1"/>
  <c r="S7"/>
  <c r="R11"/>
  <c r="Q106" i="12"/>
  <c r="G49" i="4" l="1"/>
  <c r="J49" s="1"/>
  <c r="G48"/>
  <c r="J48" s="1"/>
  <c r="G42"/>
  <c r="J42" s="1"/>
  <c r="G43"/>
  <c r="J43" s="1"/>
  <c r="G44"/>
  <c r="J44" s="1"/>
  <c r="G45"/>
  <c r="J45" s="1"/>
  <c r="G46"/>
  <c r="J46" s="1"/>
  <c r="G47"/>
  <c r="J47" s="1"/>
  <c r="G41"/>
  <c r="J41" s="1"/>
  <c r="G40"/>
  <c r="J40" s="1"/>
  <c r="G39"/>
  <c r="J39" s="1"/>
  <c r="G38"/>
  <c r="J38" s="1"/>
  <c r="G37"/>
  <c r="J37" s="1"/>
  <c r="G36"/>
  <c r="J36" s="1"/>
  <c r="G35"/>
  <c r="J35" s="1"/>
  <c r="G34"/>
  <c r="J34" s="1"/>
  <c r="G33"/>
  <c r="J33" s="1"/>
  <c r="G32"/>
  <c r="J32" s="1"/>
  <c r="G31"/>
  <c r="J31" s="1"/>
  <c r="G30"/>
  <c r="J30" s="1"/>
  <c r="G29"/>
  <c r="J29" s="1"/>
  <c r="G27"/>
  <c r="G28"/>
  <c r="J28" s="1"/>
  <c r="G26"/>
  <c r="J26" s="1"/>
  <c r="G25"/>
  <c r="G50" l="1"/>
  <c r="J27"/>
  <c r="J25"/>
  <c r="D15" i="13"/>
  <c r="C15"/>
  <c r="E15" s="1"/>
  <c r="J9" i="7" l="1"/>
  <c r="G9" i="6" l="1"/>
  <c r="J9" s="1"/>
  <c r="G4" i="5"/>
  <c r="G24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W94" i="14"/>
  <c r="X94" s="1"/>
  <c r="D104"/>
  <c r="D105" s="1"/>
  <c r="E104"/>
  <c r="E105" s="1"/>
  <c r="F104"/>
  <c r="F105" s="1"/>
  <c r="G104"/>
  <c r="G105" s="1"/>
  <c r="H104"/>
  <c r="H105" s="1"/>
  <c r="J104"/>
  <c r="J105" s="1"/>
  <c r="K104"/>
  <c r="K105" s="1"/>
  <c r="M104"/>
  <c r="M105" s="1"/>
  <c r="C104"/>
  <c r="W103"/>
  <c r="X103" s="1"/>
  <c r="W102"/>
  <c r="X102" s="1"/>
  <c r="W101"/>
  <c r="X101" s="1"/>
  <c r="W100"/>
  <c r="X100" s="1"/>
  <c r="W99"/>
  <c r="X99" s="1"/>
  <c r="W98"/>
  <c r="X98" s="1"/>
  <c r="W97"/>
  <c r="X97" s="1"/>
  <c r="W96"/>
  <c r="X96" s="1"/>
  <c r="W95"/>
  <c r="X95" s="1"/>
  <c r="W93"/>
  <c r="D17" i="1"/>
  <c r="E17"/>
  <c r="F17"/>
  <c r="C17"/>
  <c r="J4" i="5" l="1"/>
  <c r="G26"/>
  <c r="W104" i="14"/>
  <c r="X93"/>
  <c r="X104" s="1"/>
  <c r="C91"/>
  <c r="N91" s="1"/>
  <c r="X91" s="1"/>
  <c r="U105" l="1"/>
  <c r="G13" i="13" s="1"/>
  <c r="H13" l="1"/>
  <c r="K13" s="1"/>
  <c r="J13"/>
  <c r="T105" i="14"/>
  <c r="G12" i="13" s="1"/>
  <c r="C105" i="14"/>
  <c r="N105" s="1"/>
  <c r="S105"/>
  <c r="F8" i="13" s="1"/>
  <c r="P105" i="14"/>
  <c r="G9" i="13" s="1"/>
  <c r="M12" i="10"/>
  <c r="M14" s="1"/>
  <c r="N12"/>
  <c r="N14" s="1"/>
  <c r="K12"/>
  <c r="F13" i="7"/>
  <c r="E13"/>
  <c r="D13"/>
  <c r="H12" i="13" l="1"/>
  <c r="K12" s="1"/>
  <c r="J12"/>
  <c r="H9"/>
  <c r="K9" s="1"/>
  <c r="J9"/>
  <c r="H8"/>
  <c r="K8" s="1"/>
  <c r="I8"/>
  <c r="O105" i="14"/>
  <c r="H7" i="13" s="1"/>
  <c r="Q105" i="14"/>
  <c r="G10" i="13" s="1"/>
  <c r="C13" i="7"/>
  <c r="G13" s="1"/>
  <c r="R105" i="14"/>
  <c r="G11" i="13" s="1"/>
  <c r="H10" l="1"/>
  <c r="K10" s="1"/>
  <c r="J10"/>
  <c r="H11"/>
  <c r="K11" s="1"/>
  <c r="J11"/>
  <c r="K7"/>
  <c r="W105" i="14"/>
  <c r="X105" s="1"/>
  <c r="I7" i="13" l="1"/>
  <c r="L12" i="10"/>
  <c r="J12" i="7"/>
  <c r="G12" i="6"/>
  <c r="G25" i="5"/>
  <c r="L14" i="10" l="1"/>
  <c r="O12"/>
  <c r="O14" s="1"/>
  <c r="J12" i="6"/>
  <c r="C13"/>
  <c r="J25" i="5"/>
  <c r="F26"/>
  <c r="D26"/>
  <c r="E26"/>
  <c r="J6" i="7"/>
  <c r="J7"/>
  <c r="J8"/>
  <c r="J10"/>
  <c r="C26" i="5" l="1"/>
  <c r="J5" i="7"/>
  <c r="G5" i="6" l="1"/>
  <c r="R13" i="10"/>
  <c r="K14"/>
  <c r="G6" i="6"/>
  <c r="G7"/>
  <c r="G8"/>
  <c r="G10"/>
  <c r="J5" l="1"/>
  <c r="G11"/>
  <c r="G13" s="1"/>
  <c r="J6"/>
  <c r="J10"/>
  <c r="J8"/>
  <c r="J7"/>
  <c r="G15" i="13"/>
  <c r="F15"/>
  <c r="H15" l="1"/>
  <c r="AA106" i="12"/>
  <c r="AB106"/>
  <c r="D60" i="17" l="1"/>
  <c r="D62" s="1"/>
  <c r="G60" l="1"/>
  <c r="G62" s="1"/>
  <c r="O62"/>
</calcChain>
</file>

<file path=xl/sharedStrings.xml><?xml version="1.0" encoding="utf-8"?>
<sst xmlns="http://schemas.openxmlformats.org/spreadsheetml/2006/main" count="1162" uniqueCount="550">
  <si>
    <t>งบกลาง</t>
  </si>
  <si>
    <t>รวม</t>
  </si>
  <si>
    <t>5101</t>
  </si>
  <si>
    <t>5102</t>
  </si>
  <si>
    <t>5103</t>
  </si>
  <si>
    <t>5104</t>
  </si>
  <si>
    <t>5105</t>
  </si>
  <si>
    <t>5106</t>
  </si>
  <si>
    <t>5107</t>
  </si>
  <si>
    <t>5212</t>
  </si>
  <si>
    <t>รหัส</t>
  </si>
  <si>
    <t>เงินในงบประมาณ</t>
  </si>
  <si>
    <t>เงินนอกงบประมาณ</t>
  </si>
  <si>
    <t>ค่าใช้จ่ายบุคลากร</t>
  </si>
  <si>
    <t>ค่าใช้จ่ายด้านการฝึกอบรม</t>
  </si>
  <si>
    <t>ค่าใช้จ่ายเดินทาง</t>
  </si>
  <si>
    <t>ค่าเสื่อมราคาและค่าตัดจำหน่าย</t>
  </si>
  <si>
    <t>ค่าใช้จ่ายดำเนินงานรักษาความมั่นคงของประเทศ</t>
  </si>
  <si>
    <t>ค่าใช้จ่ายเงินอุดหนุน</t>
  </si>
  <si>
    <t>ค่าจำหน่ายจากการขายสินทรัพย์</t>
  </si>
  <si>
    <t>ค่าใช้จ่ายอื่น</t>
  </si>
  <si>
    <t>รวมต้นทุนผลผลิต</t>
  </si>
  <si>
    <t>บำนาญปกติ</t>
  </si>
  <si>
    <t>บำนาญพิเศษ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</si>
  <si>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</si>
  <si>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</si>
  <si>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</si>
  <si>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</si>
  <si>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</si>
  <si>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</si>
  <si>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บำเหน็จรายเดือนสำหรับการเบิกเงินบำเหน็จลูกจ้าง</t>
  </si>
  <si>
    <t>บำเหน็จบำนาญ อื่น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</si>
  <si>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</si>
  <si>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</si>
  <si>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</si>
  <si>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ค่ารักษาพยาบาลผู้ป่วยนอก-รพ.เอกชน-เบี้ยหวัด/บำนาญ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</si>
  <si>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</si>
  <si>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</si>
  <si>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</si>
  <si>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</si>
  <si>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</si>
  <si>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TE-ภายในกรมเดียวกัน</t>
  </si>
  <si>
    <t>ค่าใช้จ่ายระหว่างหน่วยงาน-โอนบัตรภาษีเงินนอก</t>
  </si>
  <si>
    <t>หมายเหตุ</t>
  </si>
  <si>
    <t>ค่าใช้จ่ายในระบบ GFMIS</t>
  </si>
  <si>
    <t>ต้นทุนผลผลิต</t>
  </si>
  <si>
    <t>ตารางที่ 2 รายงานต้นทุนตามศูนย์ต้นทุนแยกตามประเภทค่าใช้จ่าย</t>
  </si>
  <si>
    <t>รหัสศูนย์ต้นทุน</t>
  </si>
  <si>
    <t>หน่วยงานหลัก/สนับสนุน</t>
  </si>
  <si>
    <t>ค่าใช้จ่ายทางตรง</t>
  </si>
  <si>
    <t>ค่าใช้จ่ายทางอ้อม</t>
  </si>
  <si>
    <t>รวมค่าใช้จ่ายของแต่ละหน่วยงาน</t>
  </si>
  <si>
    <t>ค่าเสื่อมราคา/ค่าตัดจำหน่าย</t>
  </si>
  <si>
    <t>รวมค่าใช้จ่ายทางตรง</t>
  </si>
  <si>
    <t>รวมค่าใช้จ่ายทางอ้อม</t>
  </si>
  <si>
    <t>หน่วยงานหลัก</t>
  </si>
  <si>
    <t>001</t>
  </si>
  <si>
    <t>สำนักนโยบายและแผนมหาดไทย</t>
  </si>
  <si>
    <t>002</t>
  </si>
  <si>
    <t>สำนักพัฒนาและส่งเสริมการบริหารราชการจังหวัด</t>
  </si>
  <si>
    <t>003</t>
  </si>
  <si>
    <t>สำนักงาน กถ.</t>
  </si>
  <si>
    <t>004</t>
  </si>
  <si>
    <t>ศูนย์เทคโนโลยีสารสนเทศฯ</t>
  </si>
  <si>
    <t>005</t>
  </si>
  <si>
    <t>สถาบันดำรงราชานุภาพ</t>
  </si>
  <si>
    <t>007</t>
  </si>
  <si>
    <t>กองสารนิเทศ</t>
  </si>
  <si>
    <t>009</t>
  </si>
  <si>
    <t>016</t>
  </si>
  <si>
    <t>ศูนย์ปฏิบัติการกระทรวงมหาดไทย</t>
  </si>
  <si>
    <t>022</t>
  </si>
  <si>
    <t>สำนักงานจังหวัดสมุทรปราการ</t>
  </si>
  <si>
    <t>023</t>
  </si>
  <si>
    <t>สำนักงานจังหวัดนนทบุรี</t>
  </si>
  <si>
    <t>024</t>
  </si>
  <si>
    <t>สำนักงานจังหวัดปทุมธานี</t>
  </si>
  <si>
    <t>025</t>
  </si>
  <si>
    <t>สำนักงานจังหวัดพระนครศรีอยุธยา</t>
  </si>
  <si>
    <t>026</t>
  </si>
  <si>
    <t>สำนักงานจังหวัดอ่างทอง</t>
  </si>
  <si>
    <t>027</t>
  </si>
  <si>
    <t>สำนักงานจังหวัดลพบุรี</t>
  </si>
  <si>
    <t>028</t>
  </si>
  <si>
    <t>สำนักงานจังหวัดสิงห์บุรี</t>
  </si>
  <si>
    <t>029</t>
  </si>
  <si>
    <t>สำนักงานจังหวัดชัยนาท</t>
  </si>
  <si>
    <t>030</t>
  </si>
  <si>
    <t>สำนักงานจังหวัดสระบุรี</t>
  </si>
  <si>
    <t>031</t>
  </si>
  <si>
    <t>สำนักงานจังหวัดชลบุรี</t>
  </si>
  <si>
    <t>032</t>
  </si>
  <si>
    <t>สำนักงานจังหวัดระยอง</t>
  </si>
  <si>
    <t>033</t>
  </si>
  <si>
    <t>สำนักงานจังหวัดจันทบุรี</t>
  </si>
  <si>
    <t>034</t>
  </si>
  <si>
    <t>สำนักงานจังหวัดตราด</t>
  </si>
  <si>
    <t>035</t>
  </si>
  <si>
    <t>สำนักงานจังหวัดฉะเชิงเทรา</t>
  </si>
  <si>
    <t>036</t>
  </si>
  <si>
    <t>สำนักงานจังหวัดปราจีนบุรี</t>
  </si>
  <si>
    <t>037</t>
  </si>
  <si>
    <t>สำนักงานจังหวัดนครนายก</t>
  </si>
  <si>
    <t>038</t>
  </si>
  <si>
    <t>สำนักงานจังหวัดสระแก้ว</t>
  </si>
  <si>
    <t>039</t>
  </si>
  <si>
    <t>สำนักงานจังหวัดนครราชสีมา</t>
  </si>
  <si>
    <t>040</t>
  </si>
  <si>
    <t>สำนักงานจังหวัดบุรีรัมย์</t>
  </si>
  <si>
    <t>041</t>
  </si>
  <si>
    <t>สำนักงานจังหวัดสุรินทร์</t>
  </si>
  <si>
    <t>042</t>
  </si>
  <si>
    <t>043</t>
  </si>
  <si>
    <t>สำนักงานจังหวัดอุบลราชธานี</t>
  </si>
  <si>
    <t>044</t>
  </si>
  <si>
    <t>สำนักงานจังหวัดยโสธร</t>
  </si>
  <si>
    <t>045</t>
  </si>
  <si>
    <t>สำนักงานจังหวัดชัยภูมิ</t>
  </si>
  <si>
    <t>046</t>
  </si>
  <si>
    <t>สำนักงานจังหวัดอำนาจเจริญ</t>
  </si>
  <si>
    <t>047</t>
  </si>
  <si>
    <t>สำนักงานจังหวัดหนองบัวลำภู</t>
  </si>
  <si>
    <t>048</t>
  </si>
  <si>
    <t>สำนักงานจังหวัดขอนแก่น</t>
  </si>
  <si>
    <t>049</t>
  </si>
  <si>
    <t>สำนักงานจังหวัดอุดรธานี</t>
  </si>
  <si>
    <t>050</t>
  </si>
  <si>
    <t>สำนักงานจังหวัดเลย</t>
  </si>
  <si>
    <t>051</t>
  </si>
  <si>
    <t>สำนักงานจังหวัดหนองคาย</t>
  </si>
  <si>
    <t>052</t>
  </si>
  <si>
    <t>สำนักงานจังหวัดมหาสารคาม</t>
  </si>
  <si>
    <t>053</t>
  </si>
  <si>
    <t>สำนักงานจังหวัดร้อยเอ็ด</t>
  </si>
  <si>
    <t>054</t>
  </si>
  <si>
    <t>สำนักงานจังหวัดกาฬสินธุ์</t>
  </si>
  <si>
    <t>055</t>
  </si>
  <si>
    <t>สำนักงานจังหวัดสกลนคร</t>
  </si>
  <si>
    <t>056</t>
  </si>
  <si>
    <t>สำนักงานจังหวัดนครพนม</t>
  </si>
  <si>
    <t>057</t>
  </si>
  <si>
    <t>สำนักงานจังหวัดมุกดาหาร</t>
  </si>
  <si>
    <t>058</t>
  </si>
  <si>
    <t>สำนักงานจังหวัดเชียงใหม่</t>
  </si>
  <si>
    <t>059</t>
  </si>
  <si>
    <t>สำนักงานจังหวัดลำพูน</t>
  </si>
  <si>
    <t>060</t>
  </si>
  <si>
    <t>สำนักงานจังหวัดลำปาง</t>
  </si>
  <si>
    <t>061</t>
  </si>
  <si>
    <t>สำนักงานจังหวัดอุตรดิตถ์</t>
  </si>
  <si>
    <t>062</t>
  </si>
  <si>
    <t>สำนักงานจังหวัดแพร่</t>
  </si>
  <si>
    <t>063</t>
  </si>
  <si>
    <t>สำนักงานจังหวัดน่าน</t>
  </si>
  <si>
    <t>064</t>
  </si>
  <si>
    <t>สำนักงานจังหวัดพะเยา</t>
  </si>
  <si>
    <t>065</t>
  </si>
  <si>
    <t>สำนักงานจังหวัดเชียงราย</t>
  </si>
  <si>
    <t>066</t>
  </si>
  <si>
    <t>สำนักงานจังหวัดแม่ฮ่องสอน</t>
  </si>
  <si>
    <t>067</t>
  </si>
  <si>
    <t>สำนักงานจังหวัดนครสวรรค์</t>
  </si>
  <si>
    <t>068</t>
  </si>
  <si>
    <t>สำนักงานจังหวัดอุทัยธานี</t>
  </si>
  <si>
    <t>069</t>
  </si>
  <si>
    <t>สำนักงานจังหวัดกำแพงเพชร</t>
  </si>
  <si>
    <t>070</t>
  </si>
  <si>
    <t>สำนักงานจังหวัดตาก</t>
  </si>
  <si>
    <t>071</t>
  </si>
  <si>
    <t>สำนักงานจังหวัดสุโขทัย</t>
  </si>
  <si>
    <t>072</t>
  </si>
  <si>
    <t>สำนักงานจังหวัดพิษณุโลก</t>
  </si>
  <si>
    <t>073</t>
  </si>
  <si>
    <t>สำนักงานจังหวัดพิจิตร</t>
  </si>
  <si>
    <t>074</t>
  </si>
  <si>
    <t>สำนักงานจังหวัดเพชรบูรณ์</t>
  </si>
  <si>
    <t>075</t>
  </si>
  <si>
    <t>สำนักงานจังหวัดราชบุรี</t>
  </si>
  <si>
    <t>076</t>
  </si>
  <si>
    <t>077</t>
  </si>
  <si>
    <t>สำนักงานจังหวัดสุพรรณบุรี</t>
  </si>
  <si>
    <t>078</t>
  </si>
  <si>
    <t>สำนักงานจังหวัดนครปฐม</t>
  </si>
  <si>
    <t>079</t>
  </si>
  <si>
    <t>สำนักงานจังหวัดสมุทรสาคร</t>
  </si>
  <si>
    <t>080</t>
  </si>
  <si>
    <t>สำนักงานจังหวัดสมุทรสงคราม</t>
  </si>
  <si>
    <t>081</t>
  </si>
  <si>
    <t>สำนักงานจังหวัดเพชรบุรี</t>
  </si>
  <si>
    <t>082</t>
  </si>
  <si>
    <t>สำนักงานจังหวัดประจวบคีรีขันธ์</t>
  </si>
  <si>
    <t>083</t>
  </si>
  <si>
    <t>สำนักงานจังหวัดนครศรีธรรมราช</t>
  </si>
  <si>
    <t>084</t>
  </si>
  <si>
    <t>สำนักงานจังหวัดกระบี่</t>
  </si>
  <si>
    <t>085</t>
  </si>
  <si>
    <t>สำนักงานจังหวัดพังงา</t>
  </si>
  <si>
    <t>086</t>
  </si>
  <si>
    <t>สำนักงานจังหวัดภูเก็ต</t>
  </si>
  <si>
    <t>087</t>
  </si>
  <si>
    <t>088</t>
  </si>
  <si>
    <t>สำนักงานจังหวัดระนอง</t>
  </si>
  <si>
    <t>089</t>
  </si>
  <si>
    <t>สำนักงานจังหวัดชุมพร</t>
  </si>
  <si>
    <t>090</t>
  </si>
  <si>
    <t>สำนักงานจังหวัดสงขลา</t>
  </si>
  <si>
    <t>091</t>
  </si>
  <si>
    <t>สำนักงานจังหวัดสตูล</t>
  </si>
  <si>
    <t>092</t>
  </si>
  <si>
    <t>สำนักงานจังหวัดตรัง</t>
  </si>
  <si>
    <t>093</t>
  </si>
  <si>
    <t>สำนักงานจังหวัดพัทลุง</t>
  </si>
  <si>
    <t>094</t>
  </si>
  <si>
    <t>สำนักงานจังหวัดปัตตานี</t>
  </si>
  <si>
    <t>095</t>
  </si>
  <si>
    <t>สำนักงานจังหวัดยะลา</t>
  </si>
  <si>
    <t>096</t>
  </si>
  <si>
    <t>สำนักงานจังหวัดนราธิวาส</t>
  </si>
  <si>
    <t>173</t>
  </si>
  <si>
    <t>สำนักงานจังหวัดบึงกาฬ</t>
  </si>
  <si>
    <t>รวมค่าใช้จ่ายหน่วยงานหลัก</t>
  </si>
  <si>
    <t>หน่วยงานสนับสนุน</t>
  </si>
  <si>
    <t>006</t>
  </si>
  <si>
    <t>008</t>
  </si>
  <si>
    <t>สำนักตรวจราชการและเรื่องราวร้องทุกข์</t>
  </si>
  <si>
    <t>010</t>
  </si>
  <si>
    <t>กองกลาง</t>
  </si>
  <si>
    <t>011</t>
  </si>
  <si>
    <t>กองการเจ้าหน้าที่</t>
  </si>
  <si>
    <t>012</t>
  </si>
  <si>
    <t>กลุ่มงานช่วยปลัดกระทรวง</t>
  </si>
  <si>
    <t>013</t>
  </si>
  <si>
    <t>กลุ่มงานที่ปรึกษากฎหมาย</t>
  </si>
  <si>
    <t>014</t>
  </si>
  <si>
    <t>015</t>
  </si>
  <si>
    <t>017</t>
  </si>
  <si>
    <t>กลุ่มงานพัฒนาระบบบริหาร</t>
  </si>
  <si>
    <t>020</t>
  </si>
  <si>
    <t>กองคลัง</t>
  </si>
  <si>
    <t>021</t>
  </si>
  <si>
    <t>รวมค่าใช้จ่ายหน่วยงานสนับสนุน</t>
  </si>
  <si>
    <t>รวมค่าใช้จ่ายทั้งสิ้น</t>
  </si>
  <si>
    <t>ตารางที่ 3 รายงานต้นทุนกิจกรรมย่อยแยกตามแหล่งเงิน</t>
  </si>
  <si>
    <t>กิจกรรมย่อย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</si>
  <si>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</si>
  <si>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</si>
  <si>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</si>
  <si>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</si>
  <si>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</si>
  <si>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กิจกรรมย่อยหลัก</t>
  </si>
  <si>
    <t>เรื่อง</t>
  </si>
  <si>
    <t>จังหวัด</t>
  </si>
  <si>
    <t>กิจกรรม</t>
  </si>
  <si>
    <t>ครั้ง</t>
  </si>
  <si>
    <t>ราย</t>
  </si>
  <si>
    <t>งานเพิ่มประสิทธิภาพงานบุคคล อปท.</t>
  </si>
  <si>
    <t>กิจกรรมย่อยสนับสนุน</t>
  </si>
  <si>
    <t>งานด้านการเงินและบัญชี</t>
  </si>
  <si>
    <t>เครื่อง</t>
  </si>
  <si>
    <t>ด้าน</t>
  </si>
  <si>
    <t>งานพัฒนาระบบบริหารราชการ</t>
  </si>
  <si>
    <t>งานสนับสนุนบริหารราชการทั่วไป</t>
  </si>
  <si>
    <t>ระบบ</t>
  </si>
  <si>
    <t>การใช้ยานพาหนะส่วนกลาง</t>
  </si>
  <si>
    <t>กิโลเมตร</t>
  </si>
  <si>
    <t>ผลผลิต</t>
  </si>
  <si>
    <t>สนับสนุนการบริหารราชการทั่วไป</t>
  </si>
  <si>
    <t>ตารางที่ 6 รายงานต้นทุนผลผลิตหลักแยกตามแหล่งเงิน</t>
  </si>
  <si>
    <t>ตารางที่ 7 รายงานเปรียบเทียบต้นทุนกิจกรรมย่อยแยกตามแหล่งเงิน</t>
  </si>
  <si>
    <t>code</t>
  </si>
  <si>
    <t>ผลการเปรียบเทียบ</t>
  </si>
  <si>
    <t>ต้นทุนรวม เพิ่ม/(ลด)   %</t>
  </si>
  <si>
    <t xml:space="preserve">หน่วยนับ เพิ่ม/(ลด) %      </t>
  </si>
  <si>
    <t>ต้นทุนต่อหน่วยเพิ่ม/(ลด)     %</t>
  </si>
  <si>
    <t>เล่ม</t>
  </si>
  <si>
    <t>ตารางที่ 8 รายงานเปรียบเทียบต้นทุนกิจกรรมหลักแยกตามแหล่งเงิน</t>
  </si>
  <si>
    <t>กิจกรรมหลัก</t>
  </si>
  <si>
    <t>ต้นทุนรวม เพิ่ม/(ลด)  %</t>
  </si>
  <si>
    <t>หน่วยงาน</t>
  </si>
  <si>
    <t>ตารางที่ 9 รายงานเปรียบเทียบต้นทุนผลผลิตย่อยแยกตามแหล่งเงิน</t>
  </si>
  <si>
    <t>ผลผลิตย่อย</t>
  </si>
  <si>
    <t xml:space="preserve">หน่วยนับ เพิ่ม/(ลด)     %  </t>
  </si>
  <si>
    <t>ต้นทุนต่อหน่วยเพิ่ม/(ลด)    %</t>
  </si>
  <si>
    <t>ตารางที่ 10 รายงานเปรียบเทียบต้นทุนผลผลิตหลักแยกตามแหล่งเงิน</t>
  </si>
  <si>
    <t>ผลผลิตหลัก</t>
  </si>
  <si>
    <t>ตารางที่ 11 รายงานต้นทุนทางตรงตามศูนย์ต้นทุนแยกตามประเภทค่าใช้จ่ายและลักษณะของต้นทุน (คงที่/ผันแปร)</t>
  </si>
  <si>
    <t>ต้นทุนคงที่ เพิ่ม/(ลด) %</t>
  </si>
  <si>
    <t>ต้นทุนผันแปร เพิ่ม/(ลด)  %</t>
  </si>
  <si>
    <t>ต้นทุนรวม เพิ่ม/(ลด) %</t>
  </si>
  <si>
    <t>ต้นทุนคงที่</t>
  </si>
  <si>
    <t>ยอดรวมต้นทุนคงที่</t>
  </si>
  <si>
    <t>ต้นทุนผันแปร</t>
  </si>
  <si>
    <t>ยอดรวมต้นทุนผันแปร</t>
  </si>
  <si>
    <t>ค่าตอบแทน ใช้สอยวัสดุและสาธารณูปโภค</t>
  </si>
  <si>
    <t>กองการต่างประเทศ</t>
  </si>
  <si>
    <t>รวมค่าใช้จ่ายหน่วยงานหลัก*</t>
  </si>
  <si>
    <t>สำนักงานกฎหมาย</t>
  </si>
  <si>
    <t>กลุ่มงานตรวจสอบภายในระดับกระทรวง</t>
  </si>
  <si>
    <t>หน่วยงานตรวจสอบภายใน สป.</t>
  </si>
  <si>
    <t>สำนักงานรัฐมนตรี มท.</t>
  </si>
  <si>
    <t>สำนักงานจังหวัดศรีสะเกษ</t>
  </si>
  <si>
    <t>สำนักงานจังหวัดกาญจนบุรี</t>
  </si>
  <si>
    <t>สำนักงานจังหวัดสุราษฏร์ธานี</t>
  </si>
  <si>
    <t>รวมค่าใช้จ่ายหน่วยงานสนับสนุน**</t>
  </si>
  <si>
    <t>ตารางที่ 12 รายงานเปรียบเทียบต้นทุนทางอ้อมตามลักษณะของต้นทุน (คงที่/ผันแปร)</t>
  </si>
  <si>
    <t>ลำดับ</t>
  </si>
  <si>
    <t>ต้นทุนทางอ้อม</t>
  </si>
  <si>
    <t>ต้นทุนคงที่ เพิ่ม/(ลด)%</t>
  </si>
  <si>
    <t>ต้นทุนผันแปร เพิ่ม/(ลด) %</t>
  </si>
  <si>
    <t>ต้นทุนรวม เพิ่ม/(ลด)%</t>
  </si>
  <si>
    <t>ค่าตอบแทนใช้สอยวัสดุ และสาธารณูปโภค</t>
  </si>
  <si>
    <t>ค่ารักษาความมั่นคงของประเทศ</t>
  </si>
  <si>
    <t>ตาราง 1 รายงานต้นทุนรวมของหน่วยงานโดยแยกประเภทตามแหล่งของเงิน</t>
  </si>
  <si>
    <t xml:space="preserve">ค่าใช้จ่ายอื่น </t>
  </si>
  <si>
    <t>5101040102</t>
  </si>
  <si>
    <t>5101040103</t>
  </si>
  <si>
    <t>5101040104</t>
  </si>
  <si>
    <t>5101040105</t>
  </si>
  <si>
    <t>5101040106</t>
  </si>
  <si>
    <t>5101040107</t>
  </si>
  <si>
    <t>5101040108</t>
  </si>
  <si>
    <t>5101040111</t>
  </si>
  <si>
    <t>5101040120</t>
  </si>
  <si>
    <t>5101040199</t>
  </si>
  <si>
    <t>5101040202</t>
  </si>
  <si>
    <t>5101040204</t>
  </si>
  <si>
    <t>5101040205</t>
  </si>
  <si>
    <t>5101040206</t>
  </si>
  <si>
    <t>5101040207</t>
  </si>
  <si>
    <t>5209010112</t>
  </si>
  <si>
    <t>5210010102</t>
  </si>
  <si>
    <t>5210010103</t>
  </si>
  <si>
    <t>5210010105</t>
  </si>
  <si>
    <t>5210010118</t>
  </si>
  <si>
    <t>5210010119</t>
  </si>
  <si>
    <t>งานติดตามวิเคราะห์ประเมินข่าว</t>
  </si>
  <si>
    <t>งานเตรียมความพร้อม/ความร่วมมืออาเซียน</t>
  </si>
  <si>
    <t>งานบริหารจัดการความรู้</t>
  </si>
  <si>
    <t>งานด้านช่วยอำนวยการ</t>
  </si>
  <si>
    <t>งานบำรุงรักษาระบบคอมพิวเตอร์</t>
  </si>
  <si>
    <t>งานข้อมูลสารสนเทศจังหวัด</t>
  </si>
  <si>
    <t>รวมต้นทุนกิจกรรมย่อยหลัก</t>
  </si>
  <si>
    <t>รวมต้นทุนกิจกรรมย่อยสนับสนุน</t>
  </si>
  <si>
    <t>ประชาชนได้รับการปลูกฝังสำนึกรักสามัคคีและเสริมสร้างความปรองดองของคนในชาติ</t>
  </si>
  <si>
    <t>ส่วนราชการมีการบริหารจัดการที่มีประสิทธิภาพ</t>
  </si>
  <si>
    <t xml:space="preserve">รวมต้นทุนกิจกรรมย่อยทั้งสิ้น </t>
  </si>
  <si>
    <t>งานแก้ไขปัญหาความเดือดร้อนเร่งด่วน</t>
  </si>
  <si>
    <t>งานตามนโยบายรัฐบาล</t>
  </si>
  <si>
    <t>โครงการ</t>
  </si>
  <si>
    <t>รวมต้นทุนกิจกรรมหลัก</t>
  </si>
  <si>
    <t>รวมทั้งสิ้น</t>
  </si>
  <si>
    <t>สำนักนโยบายและแผน</t>
  </si>
  <si>
    <t>ประเภทค่าใช้จ่าย</t>
  </si>
  <si>
    <t>งานผลิตรายการวิทยุมหาดไทยชวนรู้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</si>
  <si>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</si>
  <si>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</si>
  <si>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</si>
  <si>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</si>
  <si>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</si>
  <si>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</si>
  <si>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</si>
  <si>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</si>
  <si>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</si>
  <si>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</si>
  <si>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</si>
  <si>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</si>
  <si>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</si>
  <si>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</si>
  <si>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</si>
  <si>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</si>
  <si>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</si>
  <si>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</si>
  <si>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</si>
  <si>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</si>
  <si>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</si>
  <si>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</si>
  <si>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</si>
  <si>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</si>
  <si>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</si>
  <si>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</si>
  <si>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</si>
  <si>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</si>
  <si>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</si>
  <si>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</si>
  <si>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</si>
  <si>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134</t>
  </si>
  <si>
    <t>135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</si>
  <si>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</si>
  <si>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</si>
  <si>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</si>
  <si>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</si>
  <si>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</si>
  <si>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</si>
  <si>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</si>
  <si>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</si>
  <si>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</si>
  <si>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</si>
  <si>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</si>
  <si>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</si>
  <si>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</si>
  <si>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</si>
  <si>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งานจัดหาพัสดุ</t>
  </si>
  <si>
    <t>งานบริหารงานบุคคล</t>
  </si>
  <si>
    <t>งานพัฒนาทรัพยากรบุคคล</t>
  </si>
  <si>
    <t>งานวิจัยและพัฒนาทรัพยากรบุคคล</t>
  </si>
  <si>
    <t>งานตรวจสอบภายใน</t>
  </si>
  <si>
    <t>งานสนับสนุนการปฏิบัติงานตรวจสอบของหน่วยงาน มท.</t>
  </si>
  <si>
    <t>งานด้านสารบรรณกรม</t>
  </si>
  <si>
    <t>งานเสริมสร้างความปรองดอง</t>
  </si>
  <si>
    <t>งานสนับสนุนการแก้ไขปัญหายาเสพติดในพื้นที่</t>
  </si>
  <si>
    <t>งานพัฒนาชนบทเชิงพื้นที่ ประยุกต์ตามพระราชดำริ</t>
  </si>
  <si>
    <t>งานสร้างความสัมพันธ์กับต่างประเทศ</t>
  </si>
  <si>
    <t>งานเจรจาและประชุมนานาชาติ</t>
  </si>
  <si>
    <t>งานประสานนโยบายผู้อพยพและหลบหนี</t>
  </si>
  <si>
    <t>งานจัดทำข้อเสนอแนะแนวทางป้องกันแก้ไขปัญหาที่ส่งผลกระทบต่อความสงบเรียบร้อยและความมั่นคง</t>
  </si>
  <si>
    <t>งานส่งเสริมศิลปวัฒนธรรมและประเพณีภาคใต้</t>
  </si>
  <si>
    <t>งานบริการระบบเทคโนโลยีการสื่อสาร</t>
  </si>
  <si>
    <t>งานบริการระบบเทคโนโลยีสารสนเทศ</t>
  </si>
  <si>
    <t>การบริหารจัดการเชิงยุทธศาสตร์</t>
  </si>
  <si>
    <t>งานร่างให้ความเห็นกลั่นกรองเกี่ยวกับกฎหมาย พัฒนาฯ</t>
  </si>
  <si>
    <t>งานตรวจราชการกระทรวงมหาดไทย</t>
  </si>
  <si>
    <t>งานประมวลวิเคราะห์เรื่องราวร้องทุกข์</t>
  </si>
  <si>
    <t>งานอำนวยการตรวจราชการและปฏิบัติงานสนับสนุนภารกิจของรัฐมนตรี</t>
  </si>
  <si>
    <t>งานพัฒนาความร่วมมือภาครัฐและภาคเอกชน</t>
  </si>
  <si>
    <t>งานส่งเสริมและพัฒนาระบบการบริหารงานและบุคลากรจังหวัด/กลุ่มจังหวัด</t>
  </si>
  <si>
    <t>งานพัฒนาประสิทธิภาพ การติดตามประเมินผลระดับจังหวัด/กลุ่มจังหวัด</t>
  </si>
  <si>
    <t>งานติดตามประเมินผลการบริหารงานบุคคลของ อปท.</t>
  </si>
  <si>
    <t>งานจัดทำรายงานและประชาสัมพันธ์ประจำปีของ กถ.</t>
  </si>
  <si>
    <t>งานส่งเสริมมาตรฐานคุณธรรมจริยธรรม อปท.</t>
  </si>
  <si>
    <t>งานด้านการพัฒนาความรู้ด้านกฎหมายของ อปท.</t>
  </si>
  <si>
    <t>งานยุทธศาสตร์การพัฒนาจังหวัด</t>
  </si>
  <si>
    <t>งานจัดทำข้อเสนอแนะแนวทางป้องกันแก้ไขปัญหาที่ส่งผลกระทบต่อความสงบฯ</t>
  </si>
  <si>
    <t>สนับสนุนงานตามนโยบายรัฐบาล</t>
  </si>
  <si>
    <t>รวมผลผลิตย่อย</t>
  </si>
  <si>
    <t>หน่วยงานตรวจสอบภายในกระทรวง</t>
  </si>
  <si>
    <t>ครั้ง/ปี</t>
  </si>
  <si>
    <t>กิจกรรม/โครงการ</t>
  </si>
  <si>
    <t>56 มีสองงาน 130 131</t>
  </si>
  <si>
    <t>*กิจกรรมด้านแผนงาน</t>
  </si>
  <si>
    <t>*กิจกรรมด้านเทคโนโลยีสารสนเทศหน่วยงาน</t>
  </si>
  <si>
    <t>*กิจกรรมด้านเครือข่ายอินเตอร์เน็ตและเว็ปไซต์</t>
  </si>
  <si>
    <t>ต้นทุนผลผลิตประจำปีงบประมาณ พ.ศ. 2558 (ต.ค.57-ก.ย.58)</t>
  </si>
  <si>
    <t>5201</t>
  </si>
  <si>
    <t>5203</t>
  </si>
  <si>
    <t>ค่าบัญชีต้นทุนการกู้ยืม</t>
  </si>
  <si>
    <t>เงินช่วยค่ารักษาพยาบาลประเภทผู้ป่วยใน-รพ.เอกชน</t>
  </si>
  <si>
    <t>5107030101</t>
  </si>
  <si>
    <t>พักเบิกเงินอุดหนุน</t>
  </si>
  <si>
    <t>5210010106</t>
  </si>
  <si>
    <t>TE-หน่วยงานโอนเงินให้หน่วยงานอื่น</t>
  </si>
  <si>
    <t>ค่าใช้จ่ายค่าวัสดุ ค่าใช้สอย และค่าสาธารณูปโภค</t>
  </si>
  <si>
    <t>ค่าใช้จ่ายบัญชีต้นทุนการกู้ยืม</t>
  </si>
  <si>
    <t>คชจ.ในการดำเนินการรักษาความมั่นคงของประเทศ</t>
  </si>
  <si>
    <t>153</t>
  </si>
  <si>
    <t>154</t>
  </si>
  <si>
    <t>155</t>
  </si>
  <si>
    <t>156</t>
  </si>
  <si>
    <t>157</t>
  </si>
  <si>
    <t>งานสนับสนุนกิจกรรมการปลูกจิตสำนึกจริยธรรมและคุณธรรม</t>
  </si>
  <si>
    <t>ฉบับ</t>
  </si>
  <si>
    <t>วัน/คน/งาน</t>
  </si>
  <si>
    <t>จำนวนเอกสารรายการ</t>
  </si>
  <si>
    <t>จำนวนครั้งของการจัดซื้อจัดจ้าง</t>
  </si>
  <si>
    <t>จำนวนบุคลากร</t>
  </si>
  <si>
    <t>จำนวนชั่วโมง/คนฝึกอบรม</t>
  </si>
  <si>
    <t>จำนวนงานตรวจสอบ/คนวัน</t>
  </si>
  <si>
    <t>จำนวนหนังสือเข้า-ออก</t>
  </si>
  <si>
    <t>อำนวยความเป็นธรรมและสร้างเสริมราชการใสสะอาด</t>
  </si>
  <si>
    <t>รวมผลผลิตหลัก</t>
  </si>
  <si>
    <t>ส่วนราชการมีระบบเทคโนโลยีสารสนเทศและการสื่อสารที่มีประสิทธิภาพ</t>
  </si>
  <si>
    <t>สนับสนุนการแก้ไขปัญหายาเสพติดในระดับพื้นที่</t>
  </si>
  <si>
    <t>ส่วนราชการมีบุคลากรและบริหารจัดการที่มีประสิทธิภาพ ปฏิบัติตนตามจริยธรรม คุณธรรมที่ดี</t>
  </si>
  <si>
    <t>ขับเคลื่อนการพัฒนาตามแนวพระราชดำริและเทิดทูนไว้ซึ่งสถาบัน</t>
  </si>
  <si>
    <t>งานสร้าง/ขยายเครือข่ายประชาชน</t>
  </si>
  <si>
    <t>งานประชาสัมพันธ์ตามแนวทางพระราชดำริ</t>
  </si>
  <si>
    <t>การตรวจสอบภายในด้านการดำเนินงาน</t>
  </si>
  <si>
    <t>การตรวจสอบภายในด้านระบบงานสารสนเทศ</t>
  </si>
  <si>
    <t>การตรวจสอบภายในด้านการปฏิบัติงาน</t>
  </si>
  <si>
    <t>การตรวจสอบภายในด้านการให้คำปรึกษาและงานอื่นๆ</t>
  </si>
  <si>
    <t>ต้นทุนทางตรง ปีงบประมาณ พ.ศ. 2558</t>
  </si>
  <si>
    <t>ทางตรง (คงที่ กับ ผันแปร) มาจากตาราง 2</t>
  </si>
  <si>
    <t>มาจากตาราง 2 ผลสุดท้าย ตาราง 11,12 ต้องเท่ากับต้นทุนทั้งหมด</t>
  </si>
  <si>
    <t xml:space="preserve">ครั้ง </t>
  </si>
  <si>
    <t>***กิจกรรมด้านแผนงาน</t>
  </si>
  <si>
    <t>หมู่บ้าน</t>
  </si>
  <si>
    <t>ตารางที่ 4 รายงานต้นทุนผลผลิตย่อยแยกตามแหล่งเงิน</t>
  </si>
  <si>
    <t>ตารางที่ 5 รายงานต้นทุนกิจกรรมหลักแยกตามแหล่งเงิน</t>
  </si>
  <si>
    <t>ประจำปีงบประมาณ พ.ศ. 2559  (ต.ค.58 - ก.ย.59)</t>
  </si>
  <si>
    <t>ค่าใช้จ่ายสวัสดิการสังคม</t>
  </si>
  <si>
    <t>บัญชีให้สินทรัพย์และทรัพยากรโดยไม่คิดค่าใช้จ่าย</t>
  </si>
  <si>
    <t>5101040101</t>
  </si>
  <si>
    <t>เบี้ยหวัด</t>
  </si>
  <si>
    <t>บัญชีให้สินทรัพย์และทรัพยากรโด่ยไม่คิดค่าใช้จ่าย</t>
  </si>
  <si>
    <t>ประจำปีงบประมาณ 2559  (ต.ค.58-ก.ย.59)</t>
  </si>
  <si>
    <t>การมีระบบเทคโนโลยีสารสนเทศและการสื่อสารที่มีประสิทธิภาพ</t>
  </si>
  <si>
    <t>การมีบุคลากรและบริหารจัดการที่มีประสิทธิภาพ ปฏิบัติตนตามจริยธรรม คุณธรรมที่ดี</t>
  </si>
  <si>
    <t>การขับเคลื่อนการพัฒนาตามแนวทางพระราชดำริในพื้นที่</t>
  </si>
  <si>
    <t>การได้รับการปลูกฝังสำนึกรักสามัคคีและเสริมสร้างความปรองดองของคนในชาติ</t>
  </si>
  <si>
    <t>การสนับสนุนการแก้ไขปัญหายาเสพติดในระดับพื้นที่</t>
  </si>
  <si>
    <t>การสนับสนุนและอำนวยการบริหารจัดการภาครัฐที่มีประสิทธิภาพและเป็นธรรม</t>
  </si>
  <si>
    <t>สนับสนุนการพัฒนาระบบเทคโนโลยีสารสนเทศและการสื่อสาร (ศสส.)</t>
  </si>
  <si>
    <t>สนับสนุนกิจกรรมการปลูกจิตสำนึกจริยธรรมและคุณธรรม (ศปท.)</t>
  </si>
  <si>
    <t>ส่งเสริมกิจกรรมการพัฒนาชนบทเชิงพื้นที่ประยุกต์ตามพระราชดำริ (สปพ.สนผ.)</t>
  </si>
  <si>
    <t>ส่งเสริมกิจกรรมการพัฒนาตามหลักปรัชญาของเศรษฐกิจพอเพียง (สปพ. สนผ.)</t>
  </si>
  <si>
    <t>เสริมสร้างเครือข่ายสื่อสารเพื่อความมั่นคง (สน.)</t>
  </si>
  <si>
    <t>ส่งเสริมกิจกรรมการปลูกฝังสำนึกรักสามัคคีและเสริมสร้างความปรองดองของคนในชาติ (สมน. สนผ.)</t>
  </si>
  <si>
    <t>สนับสนุนการนำนโยบายการแก้ไขปัญหายาเสพติดไปสู่การปฏิบัติในระดับพื้นที่ (สกพ.สนผ.)</t>
  </si>
  <si>
    <t>เสริมสร้างการบริหารจัดการเชิงยุทธศาสตร์ (สนผ.)</t>
  </si>
  <si>
    <t>สนับสนุนการบริหารงานจังหวัด/กลุ่มจังหวัดแบบบูรณาการ (สบจ.)</t>
  </si>
  <si>
    <t>บริหารและพัฒนาทรัพยากรบุคคล ระบบงานและจัดการความรู้</t>
  </si>
  <si>
    <t>บริหารเครือข่ายระบบสื่อสารและเทคโนโลยีสารสนเทศ (ศสส)</t>
  </si>
  <si>
    <t>อำนวยการและประสานงานรัฐมนตรี (สร.)</t>
  </si>
  <si>
    <t>ประชาสัมพันธ์และเผยแพร่ (สน.)</t>
  </si>
  <si>
    <t>การพิจารณาร่างกฎหมายและข้อหารือทางข้อกฎหมาย (สกม.)</t>
  </si>
  <si>
    <t>พัฒนาและส่งเสริมการบริหารงานบุคคลส่วนท้องถิ่น (สกถ.)</t>
  </si>
  <si>
    <t>พัฒนาประสิทธิภาพและประสานงานการข่าวกรองและพัฒนการข่าวภาคประชาชน (ศปก.)</t>
  </si>
  <si>
    <t>อำนวยการและประสานนโยบายกิจการต่างประเทศ กิจการชายแดนและผู้อพยพ (ตท.)</t>
  </si>
  <si>
    <t>สนับสนุนและอำนวยการศูนย์ดำรงธรรมกระทรวงมหาดไทย</t>
  </si>
  <si>
    <t>ระหว่างปีงบประมาณ 2558 (ต.ค.57-ก.ย.58)และ ประจำปีงบประมาณ 2559  (ต.ค.58-ก.ย.59)</t>
  </si>
  <si>
    <t>ต้นทุนผลผลิตประจำปีงบประมาณ พ.ศ. 2559 (ต.ค.58-ก.ย.59)</t>
  </si>
  <si>
    <t>งานป้องกันและแก้ไขปัญหายาเสพติดในพื้นที่</t>
  </si>
  <si>
    <t>งานพัฒนาชนบทเชิงพื้นที่ตามพระราชดำริ</t>
  </si>
  <si>
    <t>งานส่งเสริมกิจกรรมการพัฒนาตามหลักปรัชญาของเศรษฐกิจพอเพียง</t>
  </si>
  <si>
    <t>งานเจรจาประชุมนานาชาติ</t>
  </si>
  <si>
    <t>งานดำเนินงานมหาดไทยสู่อาเซียน</t>
  </si>
  <si>
    <t xml:space="preserve">งานสร้าง/ขยายเครือข่ายประชาชน </t>
  </si>
  <si>
    <t>งานพัฒนาความร่วมมือภาครัฐและเอกชนนากรขับเคลื่อนยุทธศาสตร์การพัฒนาเศรษฐกิจจังหวัดและกลุ่มจังหวัดเพื่อเชื่อมโยงกรอบอนุภูมิภาคสู่ประชาคมอาเซียน</t>
  </si>
  <si>
    <t>งานพัฒนาและส่งเสริมการบริหารงานบุคคลส่วนท้องถิ่น</t>
  </si>
  <si>
    <t>งานจัดทำรายงานประจำปีของ ก.ถ.และวารสารสำนักงาน ก.ถ.</t>
  </si>
  <si>
    <t xml:space="preserve">งานด้านการเงินและบัญชี </t>
  </si>
  <si>
    <t>งานด้านจัดหาพัสดุ</t>
  </si>
  <si>
    <t>งานด้านบริหารงานบุคคล</t>
  </si>
  <si>
    <t>งานด้านพัฒนาทรัพยากรบุคคล</t>
  </si>
  <si>
    <t>งานการบริหารจัดการความรู้</t>
  </si>
  <si>
    <t>งานการวิจัยและพัฒนาทรัพยากรบุคคล</t>
  </si>
  <si>
    <t>งานด้านช่วยอำนวยการผู้บริหาร</t>
  </si>
  <si>
    <t>งานบริการระบบเทคโนโลยี่การสื่อสารแก่ส่วนราชการ</t>
  </si>
  <si>
    <t>งานบริการเทคโนโลยีสารสนเทศแก่ส่วนราชการ</t>
  </si>
  <si>
    <t>งานบริหารจัดการเชิงยุทธศาสตร์</t>
  </si>
  <si>
    <t>งานร่าง ให้ความเห็นกลั่นกรองเกี่ยวกับกฎหมาย พัฒนา สนับสนุน</t>
  </si>
  <si>
    <t>งานประมวลวิเคราะห์เรื่องราวร้องเรียน/ร้องทุกข์</t>
  </si>
  <si>
    <t>งานตรวจราชการและสนับสนุนภารกิจของรัฐมนตรี</t>
  </si>
  <si>
    <t>งานยานพาหนะส่วนกลาง</t>
  </si>
  <si>
    <t>ต้นทุนทางตรง ปีงบประมาณ พ.ศ. 2559</t>
  </si>
  <si>
    <t>ปีงบประมาณ พ.ศ. 2559</t>
  </si>
  <si>
    <t>ปีงบประมาณ พ.ศ.2558</t>
  </si>
  <si>
    <t>คน</t>
  </si>
  <si>
    <t>ระดับ</t>
  </si>
  <si>
    <t>******</t>
  </si>
  <si>
    <t>*****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</si>
</sst>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.00000"/>
  </numFmts>
  <fonts count="43">
    <font>
      <sz val="10"/>
      <color indexed="8"/>
      <name val="Tahoma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name val="TH SarabunPSK"/>
      <family val="2"/>
    </font>
    <font>
      <b/>
      <sz val="24"/>
      <color indexed="8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20"/>
      <color indexed="8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24"/>
      <color rgb="FFFF0000"/>
      <name val="TH SarabunPSK"/>
      <family val="2"/>
    </font>
    <font>
      <b/>
      <sz val="18"/>
      <color rgb="FFFF0000"/>
      <name val="TH SarabunPSK"/>
      <family val="2"/>
    </font>
    <font>
      <sz val="10"/>
      <name val="TH SarabunPSK"/>
      <family val="2"/>
    </font>
    <font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8" fillId="0" borderId="0"/>
  </cellStyleXfs>
  <cellXfs count="87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/>
    <xf numFmtId="0" fontId="5" fillId="0" borderId="1" xfId="0" applyFont="1" applyBorder="1"/>
    <xf numFmtId="0" fontId="6" fillId="0" borderId="0" xfId="0" applyFont="1" applyFill="1"/>
    <xf numFmtId="0" fontId="5" fillId="2" borderId="0" xfId="0" applyFont="1" applyFill="1"/>
    <xf numFmtId="0" fontId="6" fillId="0" borderId="0" xfId="0" applyFont="1"/>
    <xf numFmtId="0" fontId="6" fillId="0" borderId="0" xfId="0" applyFont="1" applyBorder="1" applyAlignment="1">
      <alignment horizontal="center"/>
    </xf>
    <xf numFmtId="187" fontId="5" fillId="0" borderId="0" xfId="1" applyFont="1" applyFill="1"/>
    <xf numFmtId="187" fontId="5" fillId="0" borderId="0" xfId="1" applyFo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87" fontId="10" fillId="0" borderId="0" xfId="1" applyFont="1"/>
    <xf numFmtId="0" fontId="11" fillId="0" borderId="0" xfId="0" applyFont="1"/>
    <xf numFmtId="0" fontId="14" fillId="0" borderId="0" xfId="0" applyFont="1"/>
    <xf numFmtId="0" fontId="6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187" fontId="6" fillId="0" borderId="17" xfId="1" applyNumberFormat="1" applyFont="1" applyFill="1" applyBorder="1" applyAlignment="1">
      <alignment horizontal="center" vertical="center" shrinkToFit="1"/>
    </xf>
    <xf numFmtId="187" fontId="6" fillId="0" borderId="12" xfId="1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88" fontId="6" fillId="0" borderId="12" xfId="1" applyNumberFormat="1" applyFont="1" applyFill="1" applyBorder="1" applyAlignment="1">
      <alignment horizontal="center" vertical="center" shrinkToFit="1"/>
    </xf>
    <xf numFmtId="187" fontId="6" fillId="0" borderId="30" xfId="1" applyNumberFormat="1" applyFont="1" applyFill="1" applyBorder="1" applyAlignment="1">
      <alignment horizontal="center" vertical="center" shrinkToFit="1"/>
    </xf>
    <xf numFmtId="187" fontId="6" fillId="0" borderId="31" xfId="1" applyNumberFormat="1" applyFont="1" applyFill="1" applyBorder="1" applyAlignment="1">
      <alignment horizontal="center" vertical="center" shrinkToFit="1"/>
    </xf>
    <xf numFmtId="43" fontId="4" fillId="0" borderId="10" xfId="0" applyNumberFormat="1" applyFont="1" applyBorder="1" applyAlignment="1">
      <alignment shrinkToFit="1"/>
    </xf>
    <xf numFmtId="43" fontId="6" fillId="0" borderId="0" xfId="0" applyNumberFormat="1" applyFont="1" applyAlignment="1">
      <alignment shrinkToFit="1"/>
    </xf>
    <xf numFmtId="0" fontId="15" fillId="0" borderId="0" xfId="0" applyFont="1"/>
    <xf numFmtId="0" fontId="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16" fillId="0" borderId="0" xfId="0" applyFont="1"/>
    <xf numFmtId="0" fontId="13" fillId="0" borderId="0" xfId="0" applyFont="1"/>
    <xf numFmtId="0" fontId="13" fillId="0" borderId="0" xfId="0" applyFont="1" applyFill="1"/>
    <xf numFmtId="187" fontId="8" fillId="0" borderId="0" xfId="1" applyFont="1"/>
    <xf numFmtId="0" fontId="8" fillId="0" borderId="0" xfId="0" applyFont="1" applyAlignment="1">
      <alignment shrinkToFit="1"/>
    </xf>
    <xf numFmtId="43" fontId="8" fillId="0" borderId="0" xfId="0" applyNumberFormat="1" applyFont="1"/>
    <xf numFmtId="0" fontId="8" fillId="0" borderId="0" xfId="0" applyFont="1" applyAlignment="1">
      <alignment horizontal="center"/>
    </xf>
    <xf numFmtId="0" fontId="6" fillId="2" borderId="0" xfId="0" applyFont="1" applyFill="1"/>
    <xf numFmtId="187" fontId="6" fillId="2" borderId="0" xfId="1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187" fontId="5" fillId="2" borderId="0" xfId="1" applyFont="1" applyFill="1"/>
    <xf numFmtId="0" fontId="5" fillId="0" borderId="36" xfId="0" applyFont="1" applyFill="1" applyBorder="1" applyAlignment="1">
      <alignment horizontal="center" wrapText="1"/>
    </xf>
    <xf numFmtId="4" fontId="3" fillId="2" borderId="27" xfId="0" applyNumberFormat="1" applyFont="1" applyFill="1" applyBorder="1" applyAlignment="1">
      <alignment horizontal="right" wrapText="1"/>
    </xf>
    <xf numFmtId="187" fontId="4" fillId="0" borderId="27" xfId="0" applyNumberFormat="1" applyFont="1" applyBorder="1" applyAlignment="1">
      <alignment shrinkToFit="1"/>
    </xf>
    <xf numFmtId="0" fontId="4" fillId="0" borderId="27" xfId="0" applyFont="1" applyBorder="1" applyAlignment="1">
      <alignment horizontal="center" shrinkToFit="1"/>
    </xf>
    <xf numFmtId="4" fontId="3" fillId="2" borderId="1" xfId="0" applyNumberFormat="1" applyFont="1" applyFill="1" applyBorder="1" applyAlignment="1">
      <alignment horizontal="right" wrapText="1"/>
    </xf>
    <xf numFmtId="187" fontId="4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8" fillId="0" borderId="38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shrinkToFit="1"/>
    </xf>
    <xf numFmtId="0" fontId="23" fillId="0" borderId="0" xfId="0" applyFont="1" applyBorder="1"/>
    <xf numFmtId="4" fontId="5" fillId="0" borderId="0" xfId="1" applyNumberFormat="1" applyFont="1"/>
    <xf numFmtId="187" fontId="16" fillId="0" borderId="0" xfId="1" applyFont="1" applyAlignment="1">
      <alignment horizontal="center"/>
    </xf>
    <xf numFmtId="187" fontId="5" fillId="6" borderId="2" xfId="1" applyFont="1" applyFill="1" applyBorder="1" applyAlignment="1">
      <alignment horizontal="right" shrinkToFit="1"/>
    </xf>
    <xf numFmtId="187" fontId="5" fillId="5" borderId="10" xfId="1" applyFont="1" applyFill="1" applyBorder="1" applyAlignment="1">
      <alignment horizontal="right" shrinkToFit="1"/>
    </xf>
    <xf numFmtId="187" fontId="5" fillId="5" borderId="19" xfId="0" applyNumberFormat="1" applyFont="1" applyFill="1" applyBorder="1" applyAlignment="1">
      <alignment shrinkToFit="1"/>
    </xf>
    <xf numFmtId="187" fontId="6" fillId="7" borderId="12" xfId="1" applyFont="1" applyFill="1" applyBorder="1" applyAlignment="1">
      <alignment shrinkToFit="1"/>
    </xf>
    <xf numFmtId="4" fontId="6" fillId="0" borderId="37" xfId="0" applyNumberFormat="1" applyFont="1" applyFill="1" applyBorder="1" applyAlignment="1">
      <alignment horizontal="center" vertical="top" wrapText="1" shrinkToFit="1"/>
    </xf>
    <xf numFmtId="0" fontId="6" fillId="0" borderId="19" xfId="0" applyFont="1" applyFill="1" applyBorder="1" applyAlignment="1">
      <alignment horizontal="center" vertical="top" wrapText="1" shrinkToFit="1"/>
    </xf>
    <xf numFmtId="0" fontId="6" fillId="0" borderId="35" xfId="0" applyFont="1" applyFill="1" applyBorder="1" applyAlignment="1">
      <alignment horizontal="center" vertical="top" wrapText="1" shrinkToFit="1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87" fontId="6" fillId="3" borderId="42" xfId="1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shrinkToFit="1"/>
    </xf>
    <xf numFmtId="43" fontId="25" fillId="0" borderId="0" xfId="0" applyNumberFormat="1" applyFont="1"/>
    <xf numFmtId="0" fontId="8" fillId="0" borderId="40" xfId="0" applyFont="1" applyFill="1" applyBorder="1" applyAlignment="1">
      <alignment horizontal="center"/>
    </xf>
    <xf numFmtId="43" fontId="8" fillId="0" borderId="40" xfId="0" applyNumberFormat="1" applyFont="1" applyFill="1" applyBorder="1"/>
    <xf numFmtId="0" fontId="8" fillId="0" borderId="0" xfId="0" applyFont="1" applyFill="1"/>
    <xf numFmtId="4" fontId="8" fillId="0" borderId="0" xfId="0" applyNumberFormat="1" applyFont="1" applyFill="1"/>
    <xf numFmtId="187" fontId="2" fillId="0" borderId="57" xfId="1" applyFont="1" applyFill="1" applyBorder="1" applyAlignment="1">
      <alignment horizontal="right" wrapText="1"/>
    </xf>
    <xf numFmtId="0" fontId="5" fillId="10" borderId="0" xfId="0" applyFont="1" applyFill="1"/>
    <xf numFmtId="4" fontId="2" fillId="0" borderId="1" xfId="1" applyNumberFormat="1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center" shrinkToFit="1"/>
    </xf>
    <xf numFmtId="4" fontId="27" fillId="0" borderId="47" xfId="1" applyNumberFormat="1" applyFont="1" applyFill="1" applyBorder="1" applyAlignment="1">
      <alignment horizontal="right" wrapText="1"/>
    </xf>
    <xf numFmtId="0" fontId="8" fillId="10" borderId="59" xfId="0" applyFont="1" applyFill="1" applyBorder="1" applyAlignment="1">
      <alignment horizontal="center" wrapText="1"/>
    </xf>
    <xf numFmtId="0" fontId="8" fillId="10" borderId="0" xfId="0" applyFont="1" applyFill="1"/>
    <xf numFmtId="0" fontId="13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shrinkToFit="1"/>
    </xf>
    <xf numFmtId="0" fontId="13" fillId="0" borderId="14" xfId="0" applyFont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43" fontId="8" fillId="10" borderId="0" xfId="0" applyNumberFormat="1" applyFont="1" applyFill="1" applyBorder="1"/>
    <xf numFmtId="4" fontId="30" fillId="0" borderId="1" xfId="1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12" fillId="0" borderId="0" xfId="0" applyNumberFormat="1" applyFont="1"/>
    <xf numFmtId="0" fontId="26" fillId="2" borderId="39" xfId="0" applyFont="1" applyFill="1" applyBorder="1" applyAlignment="1">
      <alignment shrinkToFit="1"/>
    </xf>
    <xf numFmtId="0" fontId="26" fillId="2" borderId="1" xfId="0" applyFont="1" applyFill="1" applyBorder="1" applyAlignment="1">
      <alignment wrapText="1"/>
    </xf>
    <xf numFmtId="0" fontId="27" fillId="0" borderId="1" xfId="0" applyFont="1" applyFill="1" applyBorder="1" applyAlignment="1">
      <alignment shrinkToFit="1"/>
    </xf>
    <xf numFmtId="0" fontId="26" fillId="2" borderId="39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/>
    <xf numFmtId="4" fontId="5" fillId="0" borderId="23" xfId="0" applyNumberFormat="1" applyFont="1" applyFill="1" applyBorder="1"/>
    <xf numFmtId="0" fontId="5" fillId="0" borderId="0" xfId="0" applyFont="1" applyFill="1"/>
    <xf numFmtId="187" fontId="5" fillId="0" borderId="1" xfId="1" applyFont="1" applyFill="1" applyBorder="1" applyAlignment="1">
      <alignment horizontal="right" wrapText="1"/>
    </xf>
    <xf numFmtId="4" fontId="5" fillId="0" borderId="36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4" fontId="5" fillId="0" borderId="0" xfId="1" applyNumberFormat="1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5" fillId="12" borderId="0" xfId="0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5" fillId="0" borderId="0" xfId="0" applyNumberFormat="1" applyFont="1"/>
    <xf numFmtId="0" fontId="5" fillId="0" borderId="36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2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6" fillId="8" borderId="19" xfId="0" applyNumberFormat="1" applyFon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Alignment="1">
      <alignment horizontal="center" shrinkToFit="1"/>
    </xf>
    <xf numFmtId="0" fontId="16" fillId="0" borderId="0" xfId="0" applyFont="1" applyFill="1" applyBorder="1"/>
    <xf numFmtId="0" fontId="7" fillId="0" borderId="0" xfId="0" applyFont="1" applyFill="1" applyBorder="1" applyAlignment="1">
      <alignment shrinkToFit="1"/>
    </xf>
    <xf numFmtId="4" fontId="7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 shrinkToFit="1"/>
    </xf>
    <xf numFmtId="0" fontId="3" fillId="0" borderId="36" xfId="0" quotePrefix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shrinkToFit="1"/>
    </xf>
    <xf numFmtId="4" fontId="17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 shrinkToFit="1"/>
    </xf>
    <xf numFmtId="4" fontId="3" fillId="0" borderId="22" xfId="0" applyNumberFormat="1" applyFont="1" applyFill="1" applyBorder="1" applyAlignment="1">
      <alignment shrinkToFi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shrinkToFit="1"/>
    </xf>
    <xf numFmtId="0" fontId="17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shrinkToFit="1"/>
    </xf>
    <xf numFmtId="43" fontId="5" fillId="0" borderId="0" xfId="0" applyNumberFormat="1" applyFont="1" applyFill="1" applyBorder="1"/>
    <xf numFmtId="187" fontId="8" fillId="0" borderId="0" xfId="1" applyFont="1" applyFill="1"/>
    <xf numFmtId="187" fontId="21" fillId="0" borderId="0" xfId="1" applyFont="1" applyFill="1"/>
    <xf numFmtId="187" fontId="5" fillId="0" borderId="0" xfId="1" applyFont="1" applyFill="1" applyBorder="1" applyAlignment="1">
      <alignment shrinkToFit="1"/>
    </xf>
    <xf numFmtId="187" fontId="22" fillId="0" borderId="0" xfId="1" applyFont="1" applyFill="1"/>
    <xf numFmtId="4" fontId="5" fillId="0" borderId="0" xfId="0" applyNumberFormat="1" applyFont="1" applyFill="1" applyBorder="1" applyAlignment="1">
      <alignment shrinkToFit="1"/>
    </xf>
    <xf numFmtId="4" fontId="5" fillId="0" borderId="0" xfId="0" applyNumberFormat="1" applyFont="1" applyFill="1" applyBorder="1"/>
    <xf numFmtId="187" fontId="8" fillId="0" borderId="0" xfId="1" applyNumberFormat="1" applyFont="1" applyFill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5" fillId="0" borderId="0" xfId="0" applyNumberFormat="1" applyFont="1" applyFill="1" applyBorder="1" applyAlignment="1">
      <alignment shrinkToFit="1"/>
    </xf>
    <xf numFmtId="0" fontId="5" fillId="8" borderId="0" xfId="0" applyFont="1" applyFill="1" applyBorder="1"/>
    <xf numFmtId="4" fontId="17" fillId="4" borderId="48" xfId="0" applyNumberFormat="1" applyFont="1" applyFill="1" applyBorder="1"/>
    <xf numFmtId="4" fontId="3" fillId="4" borderId="48" xfId="0" applyNumberFormat="1" applyFont="1" applyFill="1" applyBorder="1"/>
    <xf numFmtId="4" fontId="3" fillId="4" borderId="48" xfId="0" applyNumberFormat="1" applyFont="1" applyFill="1" applyBorder="1" applyAlignment="1">
      <alignment shrinkToFit="1"/>
    </xf>
    <xf numFmtId="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1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20" fillId="5" borderId="54" xfId="0" applyNumberFormat="1" applyFont="1" applyFill="1" applyBorder="1"/>
    <xf numFmtId="0" fontId="20" fillId="13" borderId="1" xfId="0" applyFont="1" applyFill="1" applyBorder="1" applyAlignment="1">
      <alignment horizontal="center"/>
    </xf>
    <xf numFmtId="4" fontId="20" fillId="13" borderId="1" xfId="0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187" fontId="11" fillId="0" borderId="0" xfId="1" applyFont="1"/>
    <xf numFmtId="4" fontId="27" fillId="0" borderId="1" xfId="1" applyNumberFormat="1" applyFont="1" applyFill="1" applyBorder="1" applyAlignment="1">
      <alignment horizontal="right" wrapText="1"/>
    </xf>
    <xf numFmtId="0" fontId="8" fillId="0" borderId="0" xfId="0" applyFont="1" applyFill="1" applyAlignment="1">
      <alignment shrinkToFit="1"/>
    </xf>
    <xf numFmtId="187" fontId="0" fillId="0" borderId="0" xfId="1" applyFont="1"/>
    <xf numFmtId="4" fontId="21" fillId="0" borderId="0" xfId="0" applyNumberFormat="1" applyFont="1" applyFill="1"/>
    <xf numFmtId="4" fontId="5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5" fillId="0" borderId="0" xfId="0" applyFont="1" applyAlignment="1">
      <alignment vertical="top"/>
    </xf>
    <xf numFmtId="0" fontId="9" fillId="0" borderId="60" xfId="0" applyFont="1" applyFill="1" applyBorder="1" applyAlignment="1">
      <alignment shrinkToFit="1"/>
    </xf>
    <xf numFmtId="0" fontId="8" fillId="0" borderId="60" xfId="0" applyFont="1" applyFill="1" applyBorder="1" applyAlignment="1">
      <alignment shrinkToFit="1"/>
    </xf>
    <xf numFmtId="0" fontId="17" fillId="0" borderId="60" xfId="0" applyFont="1" applyFill="1" applyBorder="1" applyAlignment="1">
      <alignment shrinkToFit="1"/>
    </xf>
    <xf numFmtId="0" fontId="17" fillId="0" borderId="61" xfId="0" applyFont="1" applyFill="1" applyBorder="1" applyAlignment="1">
      <alignment shrinkToFit="1"/>
    </xf>
    <xf numFmtId="0" fontId="17" fillId="0" borderId="22" xfId="0" applyFont="1" applyFill="1" applyBorder="1" applyAlignment="1">
      <alignment shrinkToFit="1"/>
    </xf>
    <xf numFmtId="0" fontId="13" fillId="10" borderId="62" xfId="0" applyFont="1" applyFill="1" applyBorder="1" applyAlignment="1">
      <alignment horizontal="center" shrinkToFit="1"/>
    </xf>
    <xf numFmtId="187" fontId="13" fillId="3" borderId="42" xfId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right" wrapText="1"/>
    </xf>
    <xf numFmtId="187" fontId="26" fillId="2" borderId="1" xfId="0" applyNumberFormat="1" applyFont="1" applyFill="1" applyBorder="1"/>
    <xf numFmtId="0" fontId="8" fillId="6" borderId="0" xfId="0" applyFont="1" applyFill="1"/>
    <xf numFmtId="0" fontId="27" fillId="0" borderId="0" xfId="0" applyFont="1" applyAlignment="1">
      <alignment vertical="center"/>
    </xf>
    <xf numFmtId="187" fontId="4" fillId="0" borderId="2" xfId="0" applyNumberFormat="1" applyFont="1" applyBorder="1" applyAlignment="1">
      <alignment shrinkToFit="1"/>
    </xf>
    <xf numFmtId="187" fontId="4" fillId="0" borderId="27" xfId="1" applyFont="1" applyBorder="1" applyAlignment="1">
      <alignment horizontal="center" shrinkToFit="1"/>
    </xf>
    <xf numFmtId="0" fontId="14" fillId="0" borderId="0" xfId="0" applyFont="1" applyFill="1" applyAlignment="1">
      <alignment horizontal="center"/>
    </xf>
    <xf numFmtId="4" fontId="5" fillId="16" borderId="1" xfId="0" applyNumberFormat="1" applyFont="1" applyFill="1" applyBorder="1" applyAlignment="1">
      <alignment horizontal="right" wrapText="1"/>
    </xf>
    <xf numFmtId="4" fontId="6" fillId="17" borderId="1" xfId="0" applyNumberFormat="1" applyFont="1" applyFill="1" applyBorder="1"/>
    <xf numFmtId="0" fontId="8" fillId="9" borderId="1" xfId="0" applyFont="1" applyFill="1" applyBorder="1" applyAlignment="1">
      <alignment horizontal="center" wrapText="1"/>
    </xf>
    <xf numFmtId="0" fontId="29" fillId="9" borderId="22" xfId="0" applyFont="1" applyFill="1" applyBorder="1" applyAlignment="1">
      <alignment horizontal="center" shrinkToFit="1"/>
    </xf>
    <xf numFmtId="4" fontId="32" fillId="9" borderId="1" xfId="1" applyNumberFormat="1" applyFont="1" applyFill="1" applyBorder="1" applyAlignment="1">
      <alignment horizontal="right" wrapText="1"/>
    </xf>
    <xf numFmtId="43" fontId="8" fillId="9" borderId="55" xfId="0" applyNumberFormat="1" applyFont="1" applyFill="1" applyBorder="1"/>
    <xf numFmtId="0" fontId="8" fillId="15" borderId="1" xfId="0" applyFont="1" applyFill="1" applyBorder="1" applyAlignment="1">
      <alignment horizontal="center" wrapText="1"/>
    </xf>
    <xf numFmtId="0" fontId="17" fillId="15" borderId="22" xfId="0" applyFont="1" applyFill="1" applyBorder="1" applyAlignment="1">
      <alignment shrinkToFit="1"/>
    </xf>
    <xf numFmtId="187" fontId="28" fillId="15" borderId="4" xfId="1" applyFont="1" applyFill="1" applyBorder="1"/>
    <xf numFmtId="43" fontId="8" fillId="15" borderId="1" xfId="0" applyNumberFormat="1" applyFont="1" applyFill="1" applyBorder="1"/>
    <xf numFmtId="0" fontId="27" fillId="15" borderId="1" xfId="0" applyFont="1" applyFill="1" applyBorder="1" applyAlignment="1">
      <alignment horizontal="center" vertical="center"/>
    </xf>
    <xf numFmtId="187" fontId="26" fillId="15" borderId="1" xfId="1" applyFont="1" applyFill="1" applyBorder="1" applyAlignment="1">
      <alignment horizontal="right" vertical="center" wrapText="1"/>
    </xf>
    <xf numFmtId="187" fontId="28" fillId="15" borderId="1" xfId="1" applyFont="1" applyFill="1" applyBorder="1" applyAlignment="1">
      <alignment vertical="center"/>
    </xf>
    <xf numFmtId="187" fontId="25" fillId="0" borderId="0" xfId="1" applyFont="1"/>
    <xf numFmtId="187" fontId="33" fillId="0" borderId="0" xfId="1" applyFont="1" applyAlignment="1">
      <alignment vertical="top"/>
    </xf>
    <xf numFmtId="187" fontId="34" fillId="0" borderId="0" xfId="1" applyFont="1"/>
    <xf numFmtId="187" fontId="34" fillId="0" borderId="0" xfId="1" applyFont="1" applyAlignment="1">
      <alignment vertical="top"/>
    </xf>
    <xf numFmtId="187" fontId="25" fillId="0" borderId="0" xfId="1" applyFont="1" applyFill="1"/>
    <xf numFmtId="0" fontId="5" fillId="0" borderId="0" xfId="0" applyFont="1" applyFill="1" applyAlignment="1">
      <alignment horizontal="center"/>
    </xf>
    <xf numFmtId="187" fontId="33" fillId="0" borderId="0" xfId="1" applyFont="1" applyFill="1" applyAlignment="1">
      <alignment vertical="top"/>
    </xf>
    <xf numFmtId="187" fontId="36" fillId="0" borderId="0" xfId="1" applyFont="1" applyFill="1"/>
    <xf numFmtId="0" fontId="35" fillId="2" borderId="0" xfId="0" applyFont="1" applyFill="1" applyAlignment="1">
      <alignment horizontal="center"/>
    </xf>
    <xf numFmtId="0" fontId="25" fillId="10" borderId="0" xfId="0" applyFont="1" applyFill="1"/>
    <xf numFmtId="187" fontId="25" fillId="0" borderId="0" xfId="0" applyNumberFormat="1" applyFont="1"/>
    <xf numFmtId="187" fontId="35" fillId="0" borderId="0" xfId="1" applyFont="1" applyFill="1"/>
    <xf numFmtId="0" fontId="38" fillId="0" borderId="0" xfId="0" applyFont="1" applyFill="1" applyBorder="1" applyAlignment="1">
      <alignment horizontal="left"/>
    </xf>
    <xf numFmtId="187" fontId="5" fillId="0" borderId="0" xfId="1" applyFont="1" applyFill="1" applyBorder="1"/>
    <xf numFmtId="0" fontId="5" fillId="0" borderId="22" xfId="0" applyFont="1" applyFill="1" applyBorder="1" applyAlignment="1">
      <alignment horizontal="left"/>
    </xf>
    <xf numFmtId="0" fontId="21" fillId="0" borderId="0" xfId="0" applyFont="1" applyFill="1" applyAlignment="1"/>
    <xf numFmtId="187" fontId="39" fillId="0" borderId="0" xfId="1" applyFont="1" applyFill="1"/>
    <xf numFmtId="0" fontId="35" fillId="0" borderId="0" xfId="0" applyFont="1" applyFill="1"/>
    <xf numFmtId="0" fontId="21" fillId="18" borderId="0" xfId="0" applyFont="1" applyFill="1"/>
    <xf numFmtId="0" fontId="3" fillId="0" borderId="4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3" fillId="2" borderId="1" xfId="0" applyFont="1" applyFill="1" applyBorder="1" applyAlignment="1">
      <alignment horizontal="left"/>
    </xf>
    <xf numFmtId="4" fontId="4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right" shrinkToFit="1"/>
    </xf>
    <xf numFmtId="187" fontId="3" fillId="4" borderId="48" xfId="0" applyNumberFormat="1" applyFont="1" applyFill="1" applyBorder="1" applyAlignment="1">
      <alignment shrinkToFit="1"/>
    </xf>
    <xf numFmtId="4" fontId="3" fillId="4" borderId="48" xfId="1" applyNumberFormat="1" applyFont="1" applyFill="1" applyBorder="1" applyAlignment="1">
      <alignment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vertical="top" wrapText="1"/>
    </xf>
    <xf numFmtId="2" fontId="8" fillId="0" borderId="1" xfId="2" applyNumberFormat="1" applyFont="1" applyBorder="1" applyAlignment="1">
      <alignment vertical="top" wrapText="1"/>
    </xf>
    <xf numFmtId="187" fontId="25" fillId="0" borderId="0" xfId="1" applyFont="1" applyAlignment="1">
      <alignment vertical="top"/>
    </xf>
    <xf numFmtId="0" fontId="35" fillId="0" borderId="0" xfId="0" applyFont="1"/>
    <xf numFmtId="187" fontId="5" fillId="0" borderId="1" xfId="1" applyFont="1" applyFill="1" applyBorder="1" applyAlignment="1">
      <alignment horizontal="right" vertical="top" wrapText="1"/>
    </xf>
    <xf numFmtId="4" fontId="5" fillId="0" borderId="65" xfId="0" applyNumberFormat="1" applyFont="1" applyFill="1" applyBorder="1" applyAlignment="1">
      <alignment horizontal="right" wrapText="1"/>
    </xf>
    <xf numFmtId="187" fontId="25" fillId="0" borderId="0" xfId="0" applyNumberFormat="1" applyFont="1" applyAlignment="1">
      <alignment vertical="top"/>
    </xf>
    <xf numFmtId="43" fontId="25" fillId="0" borderId="0" xfId="0" applyNumberFormat="1" applyFont="1" applyAlignment="1">
      <alignment vertical="top"/>
    </xf>
    <xf numFmtId="4" fontId="32" fillId="10" borderId="56" xfId="1" applyNumberFormat="1" applyFont="1" applyFill="1" applyBorder="1" applyAlignment="1">
      <alignment horizontal="right" wrapText="1"/>
    </xf>
    <xf numFmtId="4" fontId="30" fillId="10" borderId="66" xfId="1" applyNumberFormat="1" applyFont="1" applyFill="1" applyBorder="1" applyAlignment="1">
      <alignment horizontal="right" wrapText="1"/>
    </xf>
    <xf numFmtId="43" fontId="8" fillId="0" borderId="60" xfId="0" applyNumberFormat="1" applyFont="1" applyFill="1" applyBorder="1"/>
    <xf numFmtId="0" fontId="5" fillId="2" borderId="1" xfId="0" applyFont="1" applyFill="1" applyBorder="1"/>
    <xf numFmtId="0" fontId="5" fillId="0" borderId="13" xfId="0" applyFont="1" applyFill="1" applyBorder="1" applyAlignment="1">
      <alignment horizontal="center" wrapText="1"/>
    </xf>
    <xf numFmtId="0" fontId="6" fillId="0" borderId="21" xfId="0" applyFont="1" applyBorder="1"/>
    <xf numFmtId="0" fontId="28" fillId="2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shrinkToFit="1"/>
    </xf>
    <xf numFmtId="4" fontId="26" fillId="0" borderId="13" xfId="0" applyNumberFormat="1" applyFont="1" applyFill="1" applyBorder="1" applyAlignment="1">
      <alignment horizontal="right" wrapText="1"/>
    </xf>
    <xf numFmtId="4" fontId="26" fillId="0" borderId="2" xfId="0" applyNumberFormat="1" applyFont="1" applyFill="1" applyBorder="1" applyAlignment="1">
      <alignment horizontal="right" wrapText="1"/>
    </xf>
    <xf numFmtId="4" fontId="27" fillId="0" borderId="2" xfId="1" applyNumberFormat="1" applyFont="1" applyFill="1" applyBorder="1" applyAlignment="1">
      <alignment horizontal="right" wrapText="1"/>
    </xf>
    <xf numFmtId="187" fontId="6" fillId="0" borderId="49" xfId="1" applyNumberFormat="1" applyFont="1" applyFill="1" applyBorder="1" applyAlignment="1">
      <alignment horizontal="center" vertical="center" shrinkToFit="1"/>
    </xf>
    <xf numFmtId="4" fontId="3" fillId="2" borderId="2" xfId="0" applyNumberFormat="1" applyFont="1" applyFill="1" applyBorder="1" applyAlignment="1">
      <alignment horizontal="right" wrapText="1"/>
    </xf>
    <xf numFmtId="187" fontId="4" fillId="0" borderId="2" xfId="1" applyFont="1" applyBorder="1" applyAlignment="1">
      <alignment horizontal="center" shrinkToFit="1"/>
    </xf>
    <xf numFmtId="4" fontId="3" fillId="2" borderId="65" xfId="0" applyNumberFormat="1" applyFont="1" applyFill="1" applyBorder="1" applyAlignment="1">
      <alignment horizontal="right" wrapText="1"/>
    </xf>
    <xf numFmtId="187" fontId="4" fillId="0" borderId="65" xfId="0" applyNumberFormat="1" applyFont="1" applyBorder="1" applyAlignment="1">
      <alignment shrinkToFit="1"/>
    </xf>
    <xf numFmtId="187" fontId="4" fillId="0" borderId="65" xfId="1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wrapText="1"/>
    </xf>
    <xf numFmtId="4" fontId="5" fillId="19" borderId="1" xfId="0" applyNumberFormat="1" applyFont="1" applyFill="1" applyBorder="1" applyAlignment="1">
      <alignment horizontal="right" wrapText="1"/>
    </xf>
    <xf numFmtId="4" fontId="17" fillId="19" borderId="4" xfId="0" applyNumberFormat="1" applyFont="1" applyFill="1" applyBorder="1"/>
    <xf numFmtId="4" fontId="3" fillId="19" borderId="4" xfId="0" applyNumberFormat="1" applyFont="1" applyFill="1" applyBorder="1"/>
    <xf numFmtId="4" fontId="3" fillId="19" borderId="4" xfId="0" applyNumberFormat="1" applyFont="1" applyFill="1" applyBorder="1" applyAlignment="1">
      <alignment shrinkToFit="1"/>
    </xf>
    <xf numFmtId="4" fontId="3" fillId="19" borderId="4" xfId="1" applyNumberFormat="1" applyFont="1" applyFill="1" applyBorder="1" applyAlignment="1">
      <alignment shrinkToFit="1"/>
    </xf>
    <xf numFmtId="4" fontId="5" fillId="19" borderId="0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shrinkToFit="1"/>
    </xf>
    <xf numFmtId="188" fontId="8" fillId="0" borderId="40" xfId="1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shrinkToFit="1"/>
    </xf>
    <xf numFmtId="188" fontId="30" fillId="0" borderId="1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shrinkToFit="1"/>
    </xf>
    <xf numFmtId="2" fontId="5" fillId="0" borderId="1" xfId="0" applyNumberFormat="1" applyFont="1" applyFill="1" applyBorder="1" applyAlignment="1">
      <alignment vertical="center" wrapText="1"/>
    </xf>
    <xf numFmtId="2" fontId="8" fillId="0" borderId="1" xfId="2" applyNumberFormat="1" applyFont="1" applyBorder="1" applyAlignment="1">
      <alignment vertical="center" wrapText="1"/>
    </xf>
    <xf numFmtId="187" fontId="5" fillId="0" borderId="1" xfId="1" applyFont="1" applyFill="1" applyBorder="1" applyAlignment="1">
      <alignment horizontal="right" vertical="center" wrapText="1"/>
    </xf>
    <xf numFmtId="187" fontId="5" fillId="0" borderId="1" xfId="0" applyNumberFormat="1" applyFont="1" applyBorder="1" applyAlignment="1">
      <alignment vertical="center"/>
    </xf>
    <xf numFmtId="187" fontId="25" fillId="0" borderId="0" xfId="0" applyNumberFormat="1" applyFont="1" applyAlignment="1">
      <alignment vertical="center"/>
    </xf>
    <xf numFmtId="43" fontId="2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8" fillId="0" borderId="1" xfId="2" applyNumberFormat="1" applyFont="1" applyBorder="1" applyAlignment="1">
      <alignment vertical="center" wrapText="1" shrinkToFit="1"/>
    </xf>
    <xf numFmtId="2" fontId="5" fillId="9" borderId="65" xfId="0" applyNumberFormat="1" applyFont="1" applyFill="1" applyBorder="1" applyAlignment="1">
      <alignment horizontal="center" vertical="center" wrapText="1"/>
    </xf>
    <xf numFmtId="4" fontId="6" fillId="9" borderId="65" xfId="1" applyNumberFormat="1" applyFont="1" applyFill="1" applyBorder="1" applyAlignment="1">
      <alignment horizontal="right" vertical="center" wrapText="1"/>
    </xf>
    <xf numFmtId="0" fontId="5" fillId="9" borderId="0" xfId="0" applyFont="1" applyFill="1" applyAlignment="1">
      <alignment vertical="center"/>
    </xf>
    <xf numFmtId="2" fontId="8" fillId="18" borderId="73" xfId="2" applyNumberFormat="1" applyFont="1" applyFill="1" applyBorder="1" applyAlignment="1">
      <alignment vertical="center" wrapText="1"/>
    </xf>
    <xf numFmtId="187" fontId="5" fillId="18" borderId="65" xfId="1" applyFont="1" applyFill="1" applyBorder="1" applyAlignment="1">
      <alignment horizontal="right" vertical="center" wrapText="1"/>
    </xf>
    <xf numFmtId="4" fontId="5" fillId="18" borderId="65" xfId="1" applyNumberFormat="1" applyFont="1" applyFill="1" applyBorder="1" applyAlignment="1">
      <alignment vertical="center"/>
    </xf>
    <xf numFmtId="0" fontId="5" fillId="18" borderId="0" xfId="0" applyFont="1" applyFill="1" applyAlignment="1">
      <alignment vertical="center"/>
    </xf>
    <xf numFmtId="2" fontId="5" fillId="18" borderId="1" xfId="0" applyNumberFormat="1" applyFont="1" applyFill="1" applyBorder="1" applyAlignment="1">
      <alignment vertical="center" wrapText="1"/>
    </xf>
    <xf numFmtId="2" fontId="8" fillId="18" borderId="22" xfId="2" applyNumberFormat="1" applyFont="1" applyFill="1" applyBorder="1" applyAlignment="1">
      <alignment vertical="center" wrapText="1"/>
    </xf>
    <xf numFmtId="187" fontId="5" fillId="18" borderId="1" xfId="1" applyFont="1" applyFill="1" applyBorder="1" applyAlignment="1">
      <alignment horizontal="right" vertical="center" wrapText="1"/>
    </xf>
    <xf numFmtId="4" fontId="5" fillId="18" borderId="1" xfId="1" applyNumberFormat="1" applyFont="1" applyFill="1" applyBorder="1" applyAlignment="1">
      <alignment vertical="center"/>
    </xf>
    <xf numFmtId="2" fontId="8" fillId="0" borderId="22" xfId="2" applyNumberFormat="1" applyFont="1" applyBorder="1" applyAlignment="1">
      <alignment vertical="center" wrapText="1"/>
    </xf>
    <xf numFmtId="4" fontId="5" fillId="0" borderId="1" xfId="1" applyNumberFormat="1" applyFont="1" applyFill="1" applyBorder="1" applyAlignment="1">
      <alignment vertical="center"/>
    </xf>
    <xf numFmtId="2" fontId="8" fillId="0" borderId="15" xfId="2" applyNumberFormat="1" applyFont="1" applyFill="1" applyBorder="1" applyAlignment="1">
      <alignment vertical="center" wrapText="1"/>
    </xf>
    <xf numFmtId="187" fontId="25" fillId="0" borderId="0" xfId="0" applyNumberFormat="1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4" fontId="5" fillId="0" borderId="1" xfId="1" applyNumberFormat="1" applyFont="1" applyFill="1" applyBorder="1" applyAlignment="1">
      <alignment horizontal="right" vertical="center"/>
    </xf>
    <xf numFmtId="187" fontId="25" fillId="18" borderId="0" xfId="0" applyNumberFormat="1" applyFont="1" applyFill="1" applyAlignment="1">
      <alignment vertical="center"/>
    </xf>
    <xf numFmtId="43" fontId="25" fillId="18" borderId="0" xfId="0" applyNumberFormat="1" applyFont="1" applyFill="1" applyAlignment="1">
      <alignment vertical="center"/>
    </xf>
    <xf numFmtId="2" fontId="8" fillId="0" borderId="22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2" fontId="6" fillId="9" borderId="7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87" fontId="8" fillId="0" borderId="1" xfId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3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21" borderId="1" xfId="0" applyFont="1" applyFill="1" applyBorder="1" applyAlignment="1">
      <alignment horizontal="center"/>
    </xf>
    <xf numFmtId="0" fontId="6" fillId="21" borderId="51" xfId="0" applyFont="1" applyFill="1" applyBorder="1" applyAlignment="1">
      <alignment horizontal="center"/>
    </xf>
    <xf numFmtId="4" fontId="6" fillId="21" borderId="42" xfId="1" applyNumberFormat="1" applyFont="1" applyFill="1" applyBorder="1" applyAlignment="1">
      <alignment horizontal="center"/>
    </xf>
    <xf numFmtId="187" fontId="6" fillId="21" borderId="42" xfId="1" applyFont="1" applyFill="1" applyBorder="1" applyAlignment="1">
      <alignment horizontal="center"/>
    </xf>
    <xf numFmtId="0" fontId="6" fillId="21" borderId="42" xfId="0" applyFont="1" applyFill="1" applyBorder="1" applyAlignment="1">
      <alignment horizontal="center" vertical="top"/>
    </xf>
    <xf numFmtId="0" fontId="6" fillId="21" borderId="42" xfId="0" applyFont="1" applyFill="1" applyBorder="1" applyAlignment="1">
      <alignment horizontal="center" vertical="top" shrinkToFit="1"/>
    </xf>
    <xf numFmtId="2" fontId="5" fillId="13" borderId="2" xfId="0" applyNumberFormat="1" applyFont="1" applyFill="1" applyBorder="1" applyAlignment="1">
      <alignment horizontal="center" vertical="center" wrapText="1"/>
    </xf>
    <xf numFmtId="2" fontId="6" fillId="13" borderId="25" xfId="0" applyNumberFormat="1" applyFont="1" applyFill="1" applyBorder="1" applyAlignment="1">
      <alignment horizontal="center" vertical="center"/>
    </xf>
    <xf numFmtId="4" fontId="6" fillId="13" borderId="2" xfId="1" applyNumberFormat="1" applyFont="1" applyFill="1" applyBorder="1" applyAlignment="1">
      <alignment horizontal="right" vertical="center" wrapText="1"/>
    </xf>
    <xf numFmtId="2" fontId="5" fillId="13" borderId="0" xfId="0" applyNumberFormat="1" applyFont="1" applyFill="1" applyBorder="1" applyAlignment="1">
      <alignment horizontal="center" vertical="center" shrinkToFit="1"/>
    </xf>
    <xf numFmtId="2" fontId="5" fillId="9" borderId="9" xfId="0" applyNumberFormat="1" applyFont="1" applyFill="1" applyBorder="1" applyAlignment="1">
      <alignment horizontal="center" vertical="center" wrapText="1"/>
    </xf>
    <xf numFmtId="2" fontId="6" fillId="9" borderId="15" xfId="0" applyNumberFormat="1" applyFont="1" applyFill="1" applyBorder="1" applyAlignment="1">
      <alignment horizontal="center" vertical="center" wrapText="1"/>
    </xf>
    <xf numFmtId="4" fontId="5" fillId="9" borderId="1" xfId="1" applyNumberFormat="1" applyFont="1" applyFill="1" applyBorder="1" applyAlignment="1">
      <alignment horizontal="right" vertical="center" wrapText="1"/>
    </xf>
    <xf numFmtId="188" fontId="8" fillId="0" borderId="0" xfId="1" applyNumberFormat="1" applyFont="1" applyAlignment="1">
      <alignment horizontal="right" vertical="top"/>
    </xf>
    <xf numFmtId="188" fontId="13" fillId="21" borderId="42" xfId="1" applyNumberFormat="1" applyFont="1" applyFill="1" applyBorder="1" applyAlignment="1">
      <alignment horizontal="right" vertical="top"/>
    </xf>
    <xf numFmtId="188" fontId="8" fillId="13" borderId="16" xfId="1" applyNumberFormat="1" applyFont="1" applyFill="1" applyBorder="1" applyAlignment="1">
      <alignment horizontal="right" vertical="center"/>
    </xf>
    <xf numFmtId="187" fontId="8" fillId="0" borderId="0" xfId="1" applyFont="1" applyFill="1" applyAlignment="1">
      <alignment vertical="top"/>
    </xf>
    <xf numFmtId="187" fontId="13" fillId="21" borderId="42" xfId="1" applyFont="1" applyFill="1" applyBorder="1" applyAlignment="1">
      <alignment horizontal="center" vertical="top"/>
    </xf>
    <xf numFmtId="187" fontId="8" fillId="13" borderId="0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187" fontId="9" fillId="2" borderId="39" xfId="1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43" fontId="9" fillId="2" borderId="39" xfId="0" applyNumberFormat="1" applyFont="1" applyFill="1" applyBorder="1"/>
    <xf numFmtId="0" fontId="9" fillId="2" borderId="1" xfId="0" applyFont="1" applyFill="1" applyBorder="1" applyAlignment="1">
      <alignment horizontal="center"/>
    </xf>
    <xf numFmtId="187" fontId="9" fillId="2" borderId="1" xfId="1" applyFont="1" applyFill="1" applyBorder="1" applyAlignment="1">
      <alignment horizontal="center"/>
    </xf>
    <xf numFmtId="0" fontId="26" fillId="20" borderId="2" xfId="0" applyFont="1" applyFill="1" applyBorder="1"/>
    <xf numFmtId="0" fontId="28" fillId="20" borderId="2" xfId="0" applyFont="1" applyFill="1" applyBorder="1" applyAlignment="1">
      <alignment horizontal="center"/>
    </xf>
    <xf numFmtId="187" fontId="6" fillId="20" borderId="56" xfId="0" applyNumberFormat="1" applyFont="1" applyFill="1" applyBorder="1"/>
    <xf numFmtId="0" fontId="5" fillId="20" borderId="2" xfId="0" applyFont="1" applyFill="1" applyBorder="1"/>
    <xf numFmtId="0" fontId="6" fillId="20" borderId="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shrinkToFit="1"/>
    </xf>
    <xf numFmtId="0" fontId="5" fillId="5" borderId="2" xfId="0" applyFont="1" applyFill="1" applyBorder="1" applyAlignment="1">
      <alignment horizontal="center" shrinkToFit="1"/>
    </xf>
    <xf numFmtId="4" fontId="2" fillId="5" borderId="1" xfId="1" applyNumberFormat="1" applyFont="1" applyFill="1" applyBorder="1" applyAlignment="1">
      <alignment horizontal="right" wrapText="1"/>
    </xf>
    <xf numFmtId="4" fontId="4" fillId="5" borderId="1" xfId="1" applyNumberFormat="1" applyFont="1" applyFill="1" applyBorder="1" applyAlignment="1">
      <alignment horizontal="right" wrapText="1"/>
    </xf>
    <xf numFmtId="0" fontId="6" fillId="7" borderId="0" xfId="0" applyFont="1" applyFill="1" applyAlignment="1">
      <alignment horizontal="center" shrinkToFit="1"/>
    </xf>
    <xf numFmtId="43" fontId="6" fillId="7" borderId="0" xfId="0" applyNumberFormat="1" applyFont="1" applyFill="1" applyAlignment="1">
      <alignment shrinkToFit="1"/>
    </xf>
    <xf numFmtId="188" fontId="13" fillId="0" borderId="12" xfId="1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87" fontId="13" fillId="0" borderId="31" xfId="1" applyNumberFormat="1" applyFont="1" applyFill="1" applyBorder="1" applyAlignment="1">
      <alignment horizontal="center" vertical="center" shrinkToFit="1"/>
    </xf>
    <xf numFmtId="2" fontId="9" fillId="2" borderId="1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43" fontId="9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center" shrinkToFit="1"/>
    </xf>
    <xf numFmtId="43" fontId="13" fillId="0" borderId="0" xfId="0" applyNumberFormat="1" applyFont="1" applyBorder="1" applyAlignment="1">
      <alignment shrinkToFit="1"/>
    </xf>
    <xf numFmtId="0" fontId="16" fillId="0" borderId="0" xfId="0" applyFont="1" applyFill="1" applyAlignment="1">
      <alignment horizontal="center" shrinkToFit="1"/>
    </xf>
    <xf numFmtId="0" fontId="17" fillId="0" borderId="0" xfId="0" applyFont="1" applyFill="1" applyAlignment="1">
      <alignment shrinkToFit="1"/>
    </xf>
    <xf numFmtId="4" fontId="2" fillId="15" borderId="1" xfId="0" applyNumberFormat="1" applyFont="1" applyFill="1" applyBorder="1" applyAlignment="1">
      <alignment horizontal="right" wrapText="1"/>
    </xf>
    <xf numFmtId="43" fontId="8" fillId="0" borderId="79" xfId="0" applyNumberFormat="1" applyFont="1" applyFill="1" applyBorder="1"/>
    <xf numFmtId="43" fontId="8" fillId="6" borderId="35" xfId="0" applyNumberFormat="1" applyFont="1" applyFill="1" applyBorder="1"/>
    <xf numFmtId="0" fontId="8" fillId="0" borderId="36" xfId="0" applyFont="1" applyFill="1" applyBorder="1" applyAlignment="1">
      <alignment horizontal="center" wrapText="1"/>
    </xf>
    <xf numFmtId="43" fontId="8" fillId="0" borderId="80" xfId="0" applyNumberFormat="1" applyFont="1" applyFill="1" applyBorder="1"/>
    <xf numFmtId="188" fontId="8" fillId="0" borderId="81" xfId="0" applyNumberFormat="1" applyFont="1" applyFill="1" applyBorder="1" applyAlignment="1">
      <alignment horizontal="center"/>
    </xf>
    <xf numFmtId="0" fontId="27" fillId="15" borderId="36" xfId="0" applyFont="1" applyFill="1" applyBorder="1" applyAlignment="1">
      <alignment horizontal="center" vertical="center" wrapText="1"/>
    </xf>
    <xf numFmtId="43" fontId="27" fillId="15" borderId="74" xfId="0" applyNumberFormat="1" applyFont="1" applyFill="1" applyBorder="1" applyAlignment="1">
      <alignment vertical="center"/>
    </xf>
    <xf numFmtId="0" fontId="8" fillId="6" borderId="21" xfId="0" applyFont="1" applyFill="1" applyBorder="1" applyAlignment="1">
      <alignment horizontal="center" wrapText="1"/>
    </xf>
    <xf numFmtId="4" fontId="30" fillId="6" borderId="19" xfId="1" applyNumberFormat="1" applyFont="1" applyFill="1" applyBorder="1" applyAlignment="1">
      <alignment horizontal="right" wrapText="1"/>
    </xf>
    <xf numFmtId="0" fontId="8" fillId="6" borderId="19" xfId="0" applyFont="1" applyFill="1" applyBorder="1" applyAlignment="1">
      <alignment horizontal="center"/>
    </xf>
    <xf numFmtId="43" fontId="8" fillId="6" borderId="19" xfId="0" applyNumberFormat="1" applyFont="1" applyFill="1" applyBorder="1"/>
    <xf numFmtId="0" fontId="8" fillId="0" borderId="82" xfId="0" applyFont="1" applyFill="1" applyBorder="1" applyAlignment="1">
      <alignment horizontal="center" wrapText="1"/>
    </xf>
    <xf numFmtId="43" fontId="4" fillId="0" borderId="83" xfId="0" applyNumberFormat="1" applyFont="1" applyBorder="1" applyAlignment="1">
      <alignment shrinkToFit="1"/>
    </xf>
    <xf numFmtId="43" fontId="4" fillId="0" borderId="74" xfId="0" applyNumberFormat="1" applyFont="1" applyBorder="1" applyAlignment="1">
      <alignment shrinkToFit="1"/>
    </xf>
    <xf numFmtId="43" fontId="4" fillId="6" borderId="16" xfId="0" applyNumberFormat="1" applyFont="1" applyFill="1" applyBorder="1" applyAlignment="1">
      <alignment shrinkToFit="1"/>
    </xf>
    <xf numFmtId="43" fontId="4" fillId="5" borderId="5" xfId="0" applyNumberFormat="1" applyFont="1" applyFill="1" applyBorder="1" applyAlignment="1">
      <alignment shrinkToFit="1"/>
    </xf>
    <xf numFmtId="187" fontId="5" fillId="0" borderId="26" xfId="1" applyFont="1" applyFill="1" applyBorder="1" applyAlignment="1">
      <alignment horizontal="right" wrapText="1"/>
    </xf>
    <xf numFmtId="187" fontId="5" fillId="0" borderId="36" xfId="1" applyFont="1" applyFill="1" applyBorder="1" applyAlignment="1">
      <alignment horizontal="right" wrapText="1"/>
    </xf>
    <xf numFmtId="187" fontId="5" fillId="6" borderId="13" xfId="1" applyFont="1" applyFill="1" applyBorder="1" applyAlignment="1">
      <alignment horizontal="right" shrinkToFit="1"/>
    </xf>
    <xf numFmtId="4" fontId="2" fillId="5" borderId="37" xfId="1" applyNumberFormat="1" applyFont="1" applyFill="1" applyBorder="1" applyAlignment="1">
      <alignment horizontal="right" wrapText="1"/>
    </xf>
    <xf numFmtId="0" fontId="8" fillId="0" borderId="84" xfId="0" applyFont="1" applyBorder="1" applyAlignment="1">
      <alignment horizontal="center" shrinkToFit="1"/>
    </xf>
    <xf numFmtId="0" fontId="8" fillId="0" borderId="7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43" fontId="4" fillId="0" borderId="85" xfId="0" applyNumberFormat="1" applyFont="1" applyBorder="1" applyAlignment="1">
      <alignment shrinkToFit="1"/>
    </xf>
    <xf numFmtId="43" fontId="9" fillId="0" borderId="86" xfId="0" applyNumberFormat="1" applyFont="1" applyBorder="1" applyAlignment="1">
      <alignment shrinkToFit="1"/>
    </xf>
    <xf numFmtId="0" fontId="8" fillId="0" borderId="87" xfId="0" applyFont="1" applyBorder="1" applyAlignment="1">
      <alignment horizontal="center" shrinkToFit="1"/>
    </xf>
    <xf numFmtId="0" fontId="8" fillId="0" borderId="53" xfId="0" applyFont="1" applyBorder="1" applyAlignment="1">
      <alignment horizontal="center" shrinkToFit="1"/>
    </xf>
    <xf numFmtId="43" fontId="9" fillId="0" borderId="88" xfId="0" applyNumberFormat="1" applyFont="1" applyBorder="1" applyAlignment="1">
      <alignment shrinkToFit="1"/>
    </xf>
    <xf numFmtId="3" fontId="35" fillId="0" borderId="0" xfId="1" applyNumberFormat="1" applyFont="1" applyFill="1"/>
    <xf numFmtId="4" fontId="25" fillId="0" borderId="0" xfId="0" applyNumberFormat="1" applyFont="1"/>
    <xf numFmtId="0" fontId="3" fillId="0" borderId="0" xfId="0" applyFont="1" applyFill="1" applyBorder="1"/>
    <xf numFmtId="0" fontId="2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4" fontId="27" fillId="0" borderId="13" xfId="0" applyNumberFormat="1" applyFont="1" applyFill="1" applyBorder="1" applyAlignment="1">
      <alignment horizontal="right" wrapText="1"/>
    </xf>
    <xf numFmtId="4" fontId="27" fillId="0" borderId="2" xfId="0" applyNumberFormat="1" applyFont="1" applyFill="1" applyBorder="1" applyAlignment="1">
      <alignment horizontal="right" wrapText="1"/>
    </xf>
    <xf numFmtId="4" fontId="27" fillId="0" borderId="36" xfId="0" applyNumberFormat="1" applyFont="1" applyFill="1" applyBorder="1" applyAlignment="1">
      <alignment horizontal="right" wrapText="1"/>
    </xf>
    <xf numFmtId="4" fontId="27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4" fontId="19" fillId="0" borderId="0" xfId="0" applyNumberFormat="1" applyFont="1"/>
    <xf numFmtId="0" fontId="33" fillId="0" borderId="0" xfId="0" applyFont="1"/>
    <xf numFmtId="0" fontId="24" fillId="0" borderId="1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65" xfId="0" applyFont="1" applyFill="1" applyBorder="1" applyAlignment="1">
      <alignment horizontal="left" vertical="center" wrapText="1"/>
    </xf>
    <xf numFmtId="0" fontId="24" fillId="0" borderId="65" xfId="0" applyFont="1" applyBorder="1" applyAlignment="1">
      <alignment horizontal="center" vertical="center"/>
    </xf>
    <xf numFmtId="4" fontId="24" fillId="0" borderId="65" xfId="0" applyNumberFormat="1" applyFont="1" applyBorder="1" applyAlignment="1">
      <alignment horizontal="right" vertical="center"/>
    </xf>
    <xf numFmtId="0" fontId="24" fillId="0" borderId="65" xfId="0" applyFont="1" applyBorder="1" applyAlignment="1">
      <alignment horizontal="right" vertical="center"/>
    </xf>
    <xf numFmtId="0" fontId="2" fillId="0" borderId="57" xfId="0" applyFont="1" applyFill="1" applyBorder="1" applyAlignment="1">
      <alignment wrapText="1"/>
    </xf>
    <xf numFmtId="187" fontId="3" fillId="0" borderId="0" xfId="1" applyFont="1" applyFill="1"/>
    <xf numFmtId="187" fontId="3" fillId="0" borderId="2" xfId="1" applyFont="1" applyFill="1" applyBorder="1" applyAlignment="1">
      <alignment horizontal="center" vertical="center" wrapText="1"/>
    </xf>
    <xf numFmtId="187" fontId="5" fillId="0" borderId="1" xfId="1" applyFont="1" applyBorder="1"/>
    <xf numFmtId="187" fontId="5" fillId="0" borderId="1" xfId="1" applyFont="1" applyFill="1" applyBorder="1"/>
    <xf numFmtId="187" fontId="5" fillId="16" borderId="1" xfId="1" applyFont="1" applyFill="1" applyBorder="1" applyAlignment="1">
      <alignment horizontal="right" wrapText="1"/>
    </xf>
    <xf numFmtId="43" fontId="21" fillId="0" borderId="0" xfId="0" applyNumberFormat="1" applyFont="1" applyFill="1"/>
    <xf numFmtId="4" fontId="5" fillId="16" borderId="1" xfId="0" applyNumberFormat="1" applyFont="1" applyFill="1" applyBorder="1"/>
    <xf numFmtId="2" fontId="5" fillId="0" borderId="1" xfId="0" quotePrefix="1" applyNumberFormat="1" applyFont="1" applyFill="1" applyBorder="1" applyAlignment="1">
      <alignment vertical="top" wrapText="1"/>
    </xf>
    <xf numFmtId="188" fontId="25" fillId="0" borderId="1" xfId="1" applyNumberFormat="1" applyFont="1" applyFill="1" applyBorder="1" applyAlignment="1">
      <alignment horizontal="right" vertical="center"/>
    </xf>
    <xf numFmtId="2" fontId="25" fillId="0" borderId="1" xfId="0" applyNumberFormat="1" applyFont="1" applyFill="1" applyBorder="1" applyAlignment="1">
      <alignment horizontal="center" vertical="center" shrinkToFit="1"/>
    </xf>
    <xf numFmtId="187" fontId="25" fillId="0" borderId="1" xfId="1" applyFont="1" applyFill="1" applyBorder="1" applyAlignment="1">
      <alignment vertical="center"/>
    </xf>
    <xf numFmtId="188" fontId="25" fillId="0" borderId="1" xfId="1" applyNumberFormat="1" applyFont="1" applyFill="1" applyBorder="1" applyAlignment="1">
      <alignment horizontal="right" vertical="top"/>
    </xf>
    <xf numFmtId="2" fontId="25" fillId="0" borderId="1" xfId="0" applyNumberFormat="1" applyFont="1" applyFill="1" applyBorder="1" applyAlignment="1">
      <alignment horizontal="center" vertical="top" shrinkToFit="1"/>
    </xf>
    <xf numFmtId="188" fontId="25" fillId="9" borderId="71" xfId="1" applyNumberFormat="1" applyFont="1" applyFill="1" applyBorder="1" applyAlignment="1">
      <alignment horizontal="right" vertical="center"/>
    </xf>
    <xf numFmtId="2" fontId="25" fillId="9" borderId="71" xfId="0" applyNumberFormat="1" applyFont="1" applyFill="1" applyBorder="1" applyAlignment="1">
      <alignment horizontal="center" vertical="center" shrinkToFit="1"/>
    </xf>
    <xf numFmtId="187" fontId="25" fillId="9" borderId="72" xfId="1" applyFont="1" applyFill="1" applyBorder="1" applyAlignment="1">
      <alignment vertical="center"/>
    </xf>
    <xf numFmtId="2" fontId="25" fillId="18" borderId="65" xfId="0" applyNumberFormat="1" applyFont="1" applyFill="1" applyBorder="1" applyAlignment="1">
      <alignment horizontal="center" vertical="center" shrinkToFit="1"/>
    </xf>
    <xf numFmtId="187" fontId="25" fillId="18" borderId="65" xfId="1" applyFont="1" applyFill="1" applyBorder="1" applyAlignment="1">
      <alignment vertical="center"/>
    </xf>
    <xf numFmtId="188" fontId="25" fillId="18" borderId="1" xfId="1" applyNumberFormat="1" applyFont="1" applyFill="1" applyBorder="1" applyAlignment="1">
      <alignment horizontal="right" vertical="center"/>
    </xf>
    <xf numFmtId="2" fontId="25" fillId="18" borderId="1" xfId="0" applyNumberFormat="1" applyFont="1" applyFill="1" applyBorder="1" applyAlignment="1">
      <alignment horizontal="center" vertical="center" shrinkToFit="1"/>
    </xf>
    <xf numFmtId="187" fontId="25" fillId="0" borderId="65" xfId="1" applyFont="1" applyFill="1" applyBorder="1" applyAlignment="1">
      <alignment vertical="center"/>
    </xf>
    <xf numFmtId="4" fontId="25" fillId="18" borderId="1" xfId="1" applyNumberFormat="1" applyFont="1" applyFill="1" applyBorder="1" applyAlignment="1">
      <alignment horizontal="center" vertical="center" shrinkToFit="1"/>
    </xf>
    <xf numFmtId="4" fontId="25" fillId="0" borderId="1" xfId="1" applyNumberFormat="1" applyFont="1" applyFill="1" applyBorder="1" applyAlignment="1">
      <alignment horizontal="center" vertical="center" shrinkToFit="1"/>
    </xf>
    <xf numFmtId="4" fontId="25" fillId="18" borderId="1" xfId="0" applyNumberFormat="1" applyFont="1" applyFill="1" applyBorder="1" applyAlignment="1">
      <alignment horizontal="center" vertical="center" shrinkToFit="1"/>
    </xf>
    <xf numFmtId="4" fontId="25" fillId="0" borderId="0" xfId="1" applyNumberFormat="1" applyFont="1" applyFill="1" applyBorder="1" applyAlignment="1">
      <alignment horizontal="center" vertical="center" shrinkToFit="1"/>
    </xf>
    <xf numFmtId="188" fontId="25" fillId="9" borderId="65" xfId="1" applyNumberFormat="1" applyFont="1" applyFill="1" applyBorder="1" applyAlignment="1">
      <alignment horizontal="right" vertical="center"/>
    </xf>
    <xf numFmtId="2" fontId="25" fillId="9" borderId="65" xfId="0" applyNumberFormat="1" applyFont="1" applyFill="1" applyBorder="1" applyAlignment="1">
      <alignment horizontal="center" vertical="center" shrinkToFit="1"/>
    </xf>
    <xf numFmtId="187" fontId="25" fillId="9" borderId="65" xfId="1" applyFont="1" applyFill="1" applyBorder="1" applyAlignment="1">
      <alignment vertical="center"/>
    </xf>
    <xf numFmtId="188" fontId="25" fillId="0" borderId="65" xfId="1" applyNumberFormat="1" applyFont="1" applyFill="1" applyBorder="1" applyAlignment="1">
      <alignment horizontal="right" vertical="center"/>
    </xf>
    <xf numFmtId="0" fontId="25" fillId="0" borderId="65" xfId="0" applyFont="1" applyFill="1" applyBorder="1" applyAlignment="1">
      <alignment horizontal="center" vertical="center" shrinkToFit="1"/>
    </xf>
    <xf numFmtId="188" fontId="25" fillId="0" borderId="2" xfId="1" applyNumberFormat="1" applyFont="1" applyFill="1" applyBorder="1" applyAlignment="1">
      <alignment horizontal="right" vertical="center"/>
    </xf>
    <xf numFmtId="2" fontId="25" fillId="0" borderId="2" xfId="0" applyNumberFormat="1" applyFont="1" applyFill="1" applyBorder="1" applyAlignment="1">
      <alignment horizontal="center" vertical="center" shrinkToFit="1"/>
    </xf>
    <xf numFmtId="0" fontId="6" fillId="3" borderId="89" xfId="0" applyFont="1" applyFill="1" applyBorder="1" applyAlignment="1">
      <alignment horizontal="center"/>
    </xf>
    <xf numFmtId="0" fontId="26" fillId="2" borderId="90" xfId="0" applyFont="1" applyFill="1" applyBorder="1" applyAlignment="1">
      <alignment shrinkToFit="1"/>
    </xf>
    <xf numFmtId="0" fontId="26" fillId="2" borderId="22" xfId="0" applyFont="1" applyFill="1" applyBorder="1" applyAlignment="1">
      <alignment wrapText="1"/>
    </xf>
    <xf numFmtId="0" fontId="3" fillId="2" borderId="22" xfId="0" applyFont="1" applyFill="1" applyBorder="1" applyAlignment="1">
      <alignment horizontal="left"/>
    </xf>
    <xf numFmtId="0" fontId="28" fillId="2" borderId="22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shrinkToFit="1"/>
    </xf>
    <xf numFmtId="187" fontId="6" fillId="3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/>
    <xf numFmtId="0" fontId="8" fillId="0" borderId="92" xfId="0" applyFont="1" applyFill="1" applyBorder="1"/>
    <xf numFmtId="2" fontId="5" fillId="15" borderId="1" xfId="0" applyNumberFormat="1" applyFont="1" applyFill="1" applyBorder="1" applyAlignment="1">
      <alignment vertical="center" wrapText="1"/>
    </xf>
    <xf numFmtId="2" fontId="5" fillId="15" borderId="65" xfId="0" applyNumberFormat="1" applyFont="1" applyFill="1" applyBorder="1" applyAlignment="1">
      <alignment vertical="center" wrapText="1"/>
    </xf>
    <xf numFmtId="187" fontId="5" fillId="2" borderId="1" xfId="0" applyNumberFormat="1" applyFont="1" applyFill="1" applyBorder="1"/>
    <xf numFmtId="187" fontId="6" fillId="0" borderId="1" xfId="1" applyFont="1" applyFill="1" applyBorder="1"/>
    <xf numFmtId="187" fontId="5" fillId="6" borderId="65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8" fillId="2" borderId="0" xfId="0" applyFont="1" applyFill="1"/>
    <xf numFmtId="0" fontId="13" fillId="2" borderId="2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187" fontId="13" fillId="2" borderId="6" xfId="1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87" fontId="13" fillId="2" borderId="6" xfId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187" fontId="13" fillId="2" borderId="16" xfId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27" fillId="2" borderId="0" xfId="0" applyFont="1" applyFill="1"/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5" xfId="2" applyNumberFormat="1" applyFont="1" applyFill="1" applyBorder="1" applyAlignment="1">
      <alignment wrapText="1"/>
    </xf>
    <xf numFmtId="187" fontId="5" fillId="2" borderId="65" xfId="1" applyFont="1" applyFill="1" applyBorder="1" applyAlignment="1">
      <alignment horizontal="right" wrapText="1"/>
    </xf>
    <xf numFmtId="187" fontId="5" fillId="2" borderId="65" xfId="0" applyNumberFormat="1" applyFont="1" applyFill="1" applyBorder="1" applyAlignment="1">
      <alignment vertical="top"/>
    </xf>
    <xf numFmtId="2" fontId="5" fillId="2" borderId="2" xfId="0" applyNumberFormat="1" applyFont="1" applyFill="1" applyBorder="1" applyAlignment="1">
      <alignment horizontal="center" vertical="center" shrinkToFit="1"/>
    </xf>
    <xf numFmtId="187" fontId="8" fillId="2" borderId="5" xfId="1" applyFont="1" applyFill="1" applyBorder="1"/>
    <xf numFmtId="187" fontId="5" fillId="2" borderId="65" xfId="1" applyFont="1" applyFill="1" applyBorder="1" applyAlignment="1">
      <alignment horizontal="right" vertical="top" wrapText="1"/>
    </xf>
    <xf numFmtId="4" fontId="8" fillId="2" borderId="36" xfId="0" applyNumberFormat="1" applyFont="1" applyFill="1" applyBorder="1" applyAlignment="1">
      <alignment horizontal="center"/>
    </xf>
    <xf numFmtId="2" fontId="8" fillId="2" borderId="65" xfId="0" applyNumberFormat="1" applyFont="1" applyFill="1" applyBorder="1" applyAlignment="1">
      <alignment horizontal="center" vertical="top" wrapText="1"/>
    </xf>
    <xf numFmtId="2" fontId="8" fillId="2" borderId="74" xfId="2" applyNumberFormat="1" applyFont="1" applyFill="1" applyBorder="1" applyAlignment="1">
      <alignment wrapText="1"/>
    </xf>
    <xf numFmtId="2" fontId="5" fillId="2" borderId="65" xfId="0" applyNumberFormat="1" applyFont="1" applyFill="1" applyBorder="1" applyAlignment="1">
      <alignment horizontal="center" vertical="center" shrinkToFit="1"/>
    </xf>
    <xf numFmtId="187" fontId="8" fillId="2" borderId="74" xfId="1" applyFont="1" applyFill="1" applyBorder="1"/>
    <xf numFmtId="2" fontId="8" fillId="2" borderId="74" xfId="2" applyNumberFormat="1" applyFont="1" applyFill="1" applyBorder="1" applyAlignment="1">
      <alignment vertical="top" wrapText="1"/>
    </xf>
    <xf numFmtId="187" fontId="8" fillId="2" borderId="74" xfId="1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2" fontId="8" fillId="2" borderId="74" xfId="2" applyNumberFormat="1" applyFont="1" applyFill="1" applyBorder="1" applyAlignment="1">
      <alignment wrapText="1" shrinkToFit="1"/>
    </xf>
    <xf numFmtId="2" fontId="8" fillId="2" borderId="74" xfId="2" applyNumberFormat="1" applyFont="1" applyFill="1" applyBorder="1" applyAlignment="1">
      <alignment vertical="top" wrapText="1" shrinkToFit="1"/>
    </xf>
    <xf numFmtId="2" fontId="8" fillId="2" borderId="65" xfId="0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2" fontId="13" fillId="2" borderId="76" xfId="0" applyNumberFormat="1" applyFont="1" applyFill="1" applyBorder="1" applyAlignment="1">
      <alignment horizontal="center" wrapText="1"/>
    </xf>
    <xf numFmtId="2" fontId="13" fillId="2" borderId="77" xfId="0" applyNumberFormat="1" applyFont="1" applyFill="1" applyBorder="1" applyAlignment="1">
      <alignment horizontal="center" wrapText="1"/>
    </xf>
    <xf numFmtId="4" fontId="13" fillId="2" borderId="65" xfId="0" applyNumberFormat="1" applyFont="1" applyFill="1" applyBorder="1"/>
    <xf numFmtId="4" fontId="13" fillId="2" borderId="78" xfId="0" applyNumberFormat="1" applyFont="1" applyFill="1" applyBorder="1"/>
    <xf numFmtId="4" fontId="13" fillId="2" borderId="76" xfId="0" applyNumberFormat="1" applyFont="1" applyFill="1" applyBorder="1"/>
    <xf numFmtId="187" fontId="13" fillId="2" borderId="77" xfId="1" applyFont="1" applyFill="1" applyBorder="1" applyAlignment="1">
      <alignment horizontal="center"/>
    </xf>
    <xf numFmtId="2" fontId="13" fillId="2" borderId="77" xfId="0" applyNumberFormat="1" applyFont="1" applyFill="1" applyBorder="1" applyAlignment="1">
      <alignment horizontal="center" vertical="center" shrinkToFit="1"/>
    </xf>
    <xf numFmtId="187" fontId="13" fillId="2" borderId="77" xfId="1" applyFont="1" applyFill="1" applyBorder="1"/>
    <xf numFmtId="0" fontId="17" fillId="2" borderId="0" xfId="0" applyFont="1" applyFill="1" applyBorder="1"/>
    <xf numFmtId="2" fontId="8" fillId="2" borderId="65" xfId="2" applyNumberFormat="1" applyFont="1" applyFill="1" applyBorder="1" applyAlignment="1">
      <alignment wrapText="1"/>
    </xf>
    <xf numFmtId="187" fontId="8" fillId="2" borderId="74" xfId="1" applyFont="1" applyFill="1" applyBorder="1" applyAlignment="1"/>
    <xf numFmtId="4" fontId="5" fillId="2" borderId="65" xfId="1" applyNumberFormat="1" applyFont="1" applyFill="1" applyBorder="1" applyAlignment="1">
      <alignment horizontal="center" vertical="center" shrinkToFit="1"/>
    </xf>
    <xf numFmtId="2" fontId="8" fillId="2" borderId="65" xfId="0" quotePrefix="1" applyNumberFormat="1" applyFont="1" applyFill="1" applyBorder="1" applyAlignment="1">
      <alignment horizontal="center" wrapText="1"/>
    </xf>
    <xf numFmtId="2" fontId="13" fillId="2" borderId="65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vertical="top"/>
    </xf>
    <xf numFmtId="187" fontId="13" fillId="2" borderId="16" xfId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 vertical="center" shrinkToFit="1"/>
    </xf>
    <xf numFmtId="187" fontId="13" fillId="2" borderId="0" xfId="1" applyFont="1" applyFill="1" applyBorder="1"/>
    <xf numFmtId="0" fontId="29" fillId="2" borderId="0" xfId="0" applyFont="1" applyFill="1"/>
    <xf numFmtId="0" fontId="8" fillId="2" borderId="12" xfId="0" applyFont="1" applyFill="1" applyBorder="1" applyAlignment="1">
      <alignment horizontal="center"/>
    </xf>
    <xf numFmtId="0" fontId="8" fillId="2" borderId="65" xfId="0" applyFont="1" applyFill="1" applyBorder="1"/>
    <xf numFmtId="187" fontId="8" fillId="2" borderId="65" xfId="1" applyFont="1" applyFill="1" applyBorder="1" applyAlignment="1">
      <alignment horizontal="right" wrapText="1"/>
    </xf>
    <xf numFmtId="4" fontId="5" fillId="2" borderId="65" xfId="1" applyNumberFormat="1" applyFont="1" applyFill="1" applyBorder="1" applyAlignment="1">
      <alignment vertical="top"/>
    </xf>
    <xf numFmtId="187" fontId="8" fillId="2" borderId="75" xfId="1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 vertical="center" shrinkToFit="1"/>
    </xf>
    <xf numFmtId="187" fontId="8" fillId="2" borderId="65" xfId="1" applyFont="1" applyFill="1" applyBorder="1"/>
    <xf numFmtId="0" fontId="24" fillId="2" borderId="0" xfId="0" applyFont="1" applyFill="1"/>
    <xf numFmtId="2" fontId="13" fillId="2" borderId="75" xfId="0" applyNumberFormat="1" applyFont="1" applyFill="1" applyBorder="1" applyAlignment="1">
      <alignment horizontal="center"/>
    </xf>
    <xf numFmtId="4" fontId="13" fillId="2" borderId="65" xfId="1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center"/>
    </xf>
    <xf numFmtId="187" fontId="8" fillId="2" borderId="0" xfId="1" applyNumberFormat="1" applyFont="1" applyFill="1"/>
    <xf numFmtId="187" fontId="8" fillId="2" borderId="0" xfId="1" applyFont="1" applyFill="1"/>
    <xf numFmtId="0" fontId="8" fillId="2" borderId="0" xfId="0" applyFont="1" applyFill="1" applyAlignment="1">
      <alignment vertical="center" shrinkToFit="1"/>
    </xf>
    <xf numFmtId="4" fontId="8" fillId="2" borderId="0" xfId="0" applyNumberFormat="1" applyFont="1" applyFill="1" applyAlignment="1">
      <alignment horizontal="center"/>
    </xf>
    <xf numFmtId="187" fontId="25" fillId="2" borderId="0" xfId="1" applyFont="1" applyFill="1"/>
    <xf numFmtId="187" fontId="33" fillId="2" borderId="0" xfId="1" applyFont="1" applyFill="1" applyAlignment="1">
      <alignment vertical="top"/>
    </xf>
    <xf numFmtId="0" fontId="38" fillId="2" borderId="0" xfId="0" applyFont="1" applyFill="1"/>
    <xf numFmtId="2" fontId="8" fillId="6" borderId="65" xfId="0" applyNumberFormat="1" applyFont="1" applyFill="1" applyBorder="1" applyAlignment="1">
      <alignment horizontal="center" wrapText="1"/>
    </xf>
    <xf numFmtId="2" fontId="8" fillId="6" borderId="65" xfId="2" applyNumberFormat="1" applyFont="1" applyFill="1" applyBorder="1" applyAlignment="1">
      <alignment wrapText="1"/>
    </xf>
    <xf numFmtId="187" fontId="5" fillId="6" borderId="65" xfId="1" applyFont="1" applyFill="1" applyBorder="1" applyAlignment="1">
      <alignment horizontal="right" wrapText="1"/>
    </xf>
    <xf numFmtId="2" fontId="5" fillId="6" borderId="65" xfId="0" applyNumberFormat="1" applyFont="1" applyFill="1" applyBorder="1" applyAlignment="1">
      <alignment horizontal="center" vertical="center" shrinkToFit="1"/>
    </xf>
    <xf numFmtId="187" fontId="8" fillId="6" borderId="74" xfId="1" applyFont="1" applyFill="1" applyBorder="1" applyAlignment="1"/>
    <xf numFmtId="4" fontId="8" fillId="6" borderId="36" xfId="0" applyNumberFormat="1" applyFont="1" applyFill="1" applyBorder="1" applyAlignment="1">
      <alignment horizontal="center"/>
    </xf>
    <xf numFmtId="0" fontId="8" fillId="6" borderId="0" xfId="0" applyFont="1" applyFill="1" applyAlignment="1"/>
    <xf numFmtId="2" fontId="8" fillId="6" borderId="65" xfId="0" applyNumberFormat="1" applyFont="1" applyFill="1" applyBorder="1" applyAlignment="1">
      <alignment horizontal="center" vertical="top" wrapText="1"/>
    </xf>
    <xf numFmtId="2" fontId="8" fillId="6" borderId="74" xfId="2" applyNumberFormat="1" applyFont="1" applyFill="1" applyBorder="1" applyAlignment="1">
      <alignment wrapText="1"/>
    </xf>
    <xf numFmtId="4" fontId="5" fillId="6" borderId="65" xfId="0" applyNumberFormat="1" applyFont="1" applyFill="1" applyBorder="1" applyAlignment="1">
      <alignment horizontal="center" vertical="center" shrinkToFit="1"/>
    </xf>
    <xf numFmtId="0" fontId="30" fillId="2" borderId="93" xfId="0" applyFont="1" applyFill="1" applyBorder="1" applyAlignment="1">
      <alignment vertical="center"/>
    </xf>
    <xf numFmtId="0" fontId="30" fillId="2" borderId="94" xfId="0" applyFont="1" applyFill="1" applyBorder="1" applyAlignment="1">
      <alignment vertical="center"/>
    </xf>
    <xf numFmtId="0" fontId="30" fillId="2" borderId="95" xfId="0" applyFont="1" applyFill="1" applyBorder="1" applyAlignment="1">
      <alignment vertical="center"/>
    </xf>
    <xf numFmtId="2" fontId="13" fillId="2" borderId="93" xfId="0" applyNumberFormat="1" applyFont="1" applyFill="1" applyBorder="1" applyAlignment="1">
      <alignment vertical="center"/>
    </xf>
    <xf numFmtId="2" fontId="13" fillId="2" borderId="94" xfId="0" applyNumberFormat="1" applyFont="1" applyFill="1" applyBorder="1" applyAlignment="1">
      <alignment vertical="center"/>
    </xf>
    <xf numFmtId="2" fontId="13" fillId="2" borderId="95" xfId="0" applyNumberFormat="1" applyFont="1" applyFill="1" applyBorder="1" applyAlignment="1">
      <alignment vertical="center"/>
    </xf>
    <xf numFmtId="2" fontId="21" fillId="0" borderId="0" xfId="0" applyNumberFormat="1" applyFont="1" applyFill="1"/>
    <xf numFmtId="4" fontId="10" fillId="18" borderId="0" xfId="0" applyNumberFormat="1" applyFont="1" applyFill="1"/>
    <xf numFmtId="0" fontId="37" fillId="0" borderId="0" xfId="0" applyFont="1" applyFill="1" applyAlignment="1"/>
    <xf numFmtId="4" fontId="2" fillId="15" borderId="36" xfId="0" applyNumberFormat="1" applyFont="1" applyFill="1" applyBorder="1" applyAlignment="1">
      <alignment horizontal="right" wrapText="1"/>
    </xf>
    <xf numFmtId="0" fontId="24" fillId="15" borderId="1" xfId="0" applyFont="1" applyFill="1" applyBorder="1" applyAlignment="1">
      <alignment horizontal="center" vertical="center"/>
    </xf>
    <xf numFmtId="43" fontId="24" fillId="15" borderId="23" xfId="0" applyNumberFormat="1" applyFont="1" applyFill="1" applyBorder="1" applyAlignment="1">
      <alignment vertical="center"/>
    </xf>
    <xf numFmtId="0" fontId="24" fillId="15" borderId="0" xfId="0" applyFont="1" applyFill="1" applyAlignment="1">
      <alignment vertical="center"/>
    </xf>
    <xf numFmtId="187" fontId="5" fillId="0" borderId="0" xfId="1" applyFont="1" applyAlignment="1">
      <alignment shrinkToFit="1"/>
    </xf>
    <xf numFmtId="187" fontId="3" fillId="0" borderId="22" xfId="1" applyFont="1" applyFill="1" applyBorder="1" applyAlignment="1">
      <alignment shrinkToFit="1"/>
    </xf>
    <xf numFmtId="0" fontId="6" fillId="2" borderId="0" xfId="0" applyFont="1" applyFill="1" applyAlignment="1">
      <alignment horizontal="center"/>
    </xf>
    <xf numFmtId="4" fontId="5" fillId="0" borderId="94" xfId="0" applyNumberFormat="1" applyFont="1" applyBorder="1" applyAlignment="1">
      <alignment horizontal="center"/>
    </xf>
    <xf numFmtId="4" fontId="5" fillId="0" borderId="96" xfId="0" applyNumberFormat="1" applyFont="1" applyBorder="1" applyAlignment="1">
      <alignment horizontal="center"/>
    </xf>
    <xf numFmtId="4" fontId="5" fillId="0" borderId="78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 shrinkToFi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3" fillId="0" borderId="9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88" fontId="8" fillId="0" borderId="63" xfId="1" applyNumberFormat="1" applyFont="1" applyFill="1" applyBorder="1" applyAlignment="1">
      <alignment horizontal="left" vertical="top"/>
    </xf>
    <xf numFmtId="0" fontId="9" fillId="0" borderId="39" xfId="0" applyFont="1" applyFill="1" applyBorder="1" applyAlignment="1">
      <alignment horizontal="center" vertical="center"/>
    </xf>
    <xf numFmtId="43" fontId="9" fillId="0" borderId="39" xfId="0" applyNumberFormat="1" applyFont="1" applyFill="1" applyBorder="1" applyAlignment="1">
      <alignment vertical="center"/>
    </xf>
    <xf numFmtId="188" fontId="8" fillId="0" borderId="4" xfId="1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3" fontId="8" fillId="0" borderId="1" xfId="0" applyNumberFormat="1" applyFont="1" applyFill="1" applyBorder="1"/>
    <xf numFmtId="0" fontId="8" fillId="20" borderId="0" xfId="0" applyFont="1" applyFill="1" applyBorder="1" applyAlignment="1">
      <alignment horizontal="center" vertical="top"/>
    </xf>
    <xf numFmtId="0" fontId="8" fillId="20" borderId="0" xfId="0" applyFont="1" applyFill="1" applyBorder="1" applyAlignment="1">
      <alignment horizontal="center"/>
    </xf>
    <xf numFmtId="43" fontId="9" fillId="20" borderId="0" xfId="0" applyNumberFormat="1" applyFont="1" applyFill="1" applyBorder="1"/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187" fontId="8" fillId="0" borderId="40" xfId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87" fontId="8" fillId="0" borderId="58" xfId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9" borderId="58" xfId="0" applyFont="1" applyFill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2" fontId="8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13" fillId="2" borderId="14" xfId="0" applyFont="1" applyFill="1" applyBorder="1" applyAlignment="1">
      <alignment horizontal="center"/>
    </xf>
    <xf numFmtId="43" fontId="9" fillId="2" borderId="1" xfId="0" applyNumberFormat="1" applyFont="1" applyFill="1" applyBorder="1"/>
    <xf numFmtId="0" fontId="41" fillId="0" borderId="0" xfId="0" applyFont="1"/>
    <xf numFmtId="0" fontId="19" fillId="0" borderId="1" xfId="0" applyFont="1" applyBorder="1" applyAlignment="1">
      <alignment shrinkToFit="1"/>
    </xf>
    <xf numFmtId="187" fontId="13" fillId="0" borderId="27" xfId="1" applyNumberFormat="1" applyFont="1" applyFill="1" applyBorder="1" applyAlignment="1">
      <alignment horizontal="center" vertical="center"/>
    </xf>
    <xf numFmtId="187" fontId="13" fillId="0" borderId="6" xfId="1" applyNumberFormat="1" applyFont="1" applyFill="1" applyBorder="1" applyAlignment="1">
      <alignment horizontal="center" vertical="center"/>
    </xf>
    <xf numFmtId="188" fontId="13" fillId="0" borderId="6" xfId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187" fontId="13" fillId="0" borderId="16" xfId="1" applyNumberFormat="1" applyFont="1" applyFill="1" applyBorder="1" applyAlignment="1">
      <alignment horizontal="center" vertical="center"/>
    </xf>
    <xf numFmtId="0" fontId="30" fillId="0" borderId="94" xfId="0" applyFont="1" applyFill="1" applyBorder="1" applyAlignment="1">
      <alignment vertical="center"/>
    </xf>
    <xf numFmtId="187" fontId="5" fillId="0" borderId="65" xfId="1" applyFont="1" applyFill="1" applyBorder="1" applyAlignment="1">
      <alignment horizontal="right" vertical="top" wrapText="1"/>
    </xf>
    <xf numFmtId="4" fontId="8" fillId="0" borderId="2" xfId="0" applyNumberFormat="1" applyFont="1" applyFill="1" applyBorder="1"/>
    <xf numFmtId="188" fontId="8" fillId="0" borderId="2" xfId="1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87" fontId="8" fillId="0" borderId="5" xfId="1" applyFont="1" applyFill="1" applyBorder="1"/>
    <xf numFmtId="188" fontId="8" fillId="0" borderId="65" xfId="1" applyNumberFormat="1" applyFont="1" applyFill="1" applyBorder="1" applyAlignment="1">
      <alignment horizontal="center"/>
    </xf>
    <xf numFmtId="2" fontId="8" fillId="0" borderId="65" xfId="0" applyNumberFormat="1" applyFont="1" applyFill="1" applyBorder="1" applyAlignment="1">
      <alignment horizontal="center"/>
    </xf>
    <xf numFmtId="188" fontId="8" fillId="0" borderId="65" xfId="1" applyNumberFormat="1" applyFont="1" applyFill="1" applyBorder="1" applyAlignment="1">
      <alignment horizontal="center" vertical="top"/>
    </xf>
    <xf numFmtId="2" fontId="8" fillId="0" borderId="65" xfId="0" applyNumberFormat="1" applyFont="1" applyFill="1" applyBorder="1" applyAlignment="1">
      <alignment horizontal="center" vertical="top"/>
    </xf>
    <xf numFmtId="2" fontId="9" fillId="0" borderId="65" xfId="0" applyNumberFormat="1" applyFont="1" applyFill="1" applyBorder="1" applyAlignment="1">
      <alignment horizontal="center"/>
    </xf>
    <xf numFmtId="4" fontId="13" fillId="0" borderId="78" xfId="0" applyNumberFormat="1" applyFont="1" applyFill="1" applyBorder="1"/>
    <xf numFmtId="187" fontId="13" fillId="0" borderId="77" xfId="1" applyFont="1" applyFill="1" applyBorder="1" applyAlignment="1">
      <alignment horizontal="center"/>
    </xf>
    <xf numFmtId="2" fontId="13" fillId="0" borderId="77" xfId="0" applyNumberFormat="1" applyFont="1" applyFill="1" applyBorder="1" applyAlignment="1">
      <alignment horizontal="center"/>
    </xf>
    <xf numFmtId="187" fontId="13" fillId="0" borderId="77" xfId="1" applyFont="1" applyFill="1" applyBorder="1"/>
    <xf numFmtId="2" fontId="13" fillId="0" borderId="94" xfId="0" applyNumberFormat="1" applyFont="1" applyFill="1" applyBorder="1" applyAlignment="1">
      <alignment vertical="center"/>
    </xf>
    <xf numFmtId="4" fontId="8" fillId="0" borderId="65" xfId="1" applyNumberFormat="1" applyFont="1" applyFill="1" applyBorder="1" applyAlignment="1">
      <alignment horizontal="right" wrapText="1"/>
    </xf>
    <xf numFmtId="3" fontId="8" fillId="0" borderId="65" xfId="1" applyNumberFormat="1" applyFont="1" applyFill="1" applyBorder="1" applyAlignment="1">
      <alignment horizontal="right" wrapText="1"/>
    </xf>
    <xf numFmtId="187" fontId="8" fillId="0" borderId="74" xfId="1" applyFont="1" applyFill="1" applyBorder="1" applyAlignment="1"/>
    <xf numFmtId="2" fontId="5" fillId="0" borderId="65" xfId="0" applyNumberFormat="1" applyFont="1" applyFill="1" applyBorder="1" applyAlignment="1">
      <alignment horizontal="center" vertical="center" shrinkToFit="1"/>
    </xf>
    <xf numFmtId="4" fontId="8" fillId="0" borderId="65" xfId="1" applyNumberFormat="1" applyFont="1" applyFill="1" applyBorder="1" applyAlignment="1">
      <alignment horizontal="center" wrapText="1"/>
    </xf>
    <xf numFmtId="4" fontId="5" fillId="0" borderId="65" xfId="1" applyNumberFormat="1" applyFont="1" applyFill="1" applyBorder="1" applyAlignment="1">
      <alignment horizontal="center" vertical="center" shrinkToFit="1"/>
    </xf>
    <xf numFmtId="4" fontId="8" fillId="0" borderId="65" xfId="0" applyNumberFormat="1" applyFont="1" applyFill="1" applyBorder="1"/>
    <xf numFmtId="3" fontId="8" fillId="0" borderId="65" xfId="0" applyNumberFormat="1" applyFont="1" applyFill="1" applyBorder="1"/>
    <xf numFmtId="4" fontId="8" fillId="0" borderId="65" xfId="0" applyNumberFormat="1" applyFont="1" applyFill="1" applyBorder="1" applyAlignment="1">
      <alignment horizontal="center"/>
    </xf>
    <xf numFmtId="3" fontId="25" fillId="0" borderId="65" xfId="1" applyNumberFormat="1" applyFont="1" applyFill="1" applyBorder="1" applyAlignment="1">
      <alignment horizontal="right" wrapText="1"/>
    </xf>
    <xf numFmtId="4" fontId="13" fillId="0" borderId="65" xfId="1" applyNumberFormat="1" applyFont="1" applyFill="1" applyBorder="1" applyAlignment="1">
      <alignment horizontal="right" wrapText="1"/>
    </xf>
    <xf numFmtId="2" fontId="13" fillId="0" borderId="16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/>
    <xf numFmtId="4" fontId="8" fillId="0" borderId="11" xfId="1" applyNumberFormat="1" applyFont="1" applyFill="1" applyBorder="1"/>
    <xf numFmtId="4" fontId="8" fillId="0" borderId="11" xfId="0" applyNumberFormat="1" applyFont="1" applyFill="1" applyBorder="1"/>
    <xf numFmtId="0" fontId="8" fillId="0" borderId="7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shrinkToFit="1"/>
    </xf>
    <xf numFmtId="43" fontId="8" fillId="0" borderId="65" xfId="0" applyNumberFormat="1" applyFont="1" applyFill="1" applyBorder="1"/>
    <xf numFmtId="187" fontId="8" fillId="0" borderId="0" xfId="1" applyNumberFormat="1" applyFont="1" applyFill="1"/>
    <xf numFmtId="188" fontId="8" fillId="2" borderId="2" xfId="1" applyNumberFormat="1" applyFont="1" applyFill="1" applyBorder="1" applyAlignment="1">
      <alignment horizontal="right" vertical="top"/>
    </xf>
    <xf numFmtId="188" fontId="8" fillId="2" borderId="65" xfId="1" applyNumberFormat="1" applyFont="1" applyFill="1" applyBorder="1" applyAlignment="1">
      <alignment horizontal="right" vertical="top"/>
    </xf>
    <xf numFmtId="188" fontId="8" fillId="6" borderId="65" xfId="1" applyNumberFormat="1" applyFont="1" applyFill="1" applyBorder="1" applyAlignment="1">
      <alignment horizontal="right" vertical="top"/>
    </xf>
    <xf numFmtId="0" fontId="27" fillId="15" borderId="1" xfId="0" applyFont="1" applyFill="1" applyBorder="1" applyAlignment="1">
      <alignment vertical="center" shrinkToFit="1"/>
    </xf>
    <xf numFmtId="0" fontId="13" fillId="6" borderId="53" xfId="0" applyFont="1" applyFill="1" applyBorder="1" applyAlignment="1">
      <alignment horizontal="center" shrinkToFit="1"/>
    </xf>
    <xf numFmtId="187" fontId="19" fillId="0" borderId="0" xfId="1" applyFont="1"/>
    <xf numFmtId="187" fontId="20" fillId="0" borderId="0" xfId="1" applyFont="1" applyAlignment="1"/>
    <xf numFmtId="187" fontId="20" fillId="0" borderId="0" xfId="1" applyFont="1" applyAlignment="1">
      <alignment horizontal="center"/>
    </xf>
    <xf numFmtId="187" fontId="33" fillId="0" borderId="0" xfId="1" applyFont="1"/>
    <xf numFmtId="187" fontId="20" fillId="0" borderId="0" xfId="1" applyFont="1"/>
    <xf numFmtId="187" fontId="19" fillId="0" borderId="0" xfId="1" applyFont="1" applyBorder="1"/>
    <xf numFmtId="187" fontId="17" fillId="0" borderId="0" xfId="1" applyNumberFormat="1" applyFont="1" applyFill="1" applyBorder="1"/>
    <xf numFmtId="187" fontId="3" fillId="0" borderId="0" xfId="1" applyNumberFormat="1" applyFont="1" applyFill="1" applyBorder="1"/>
    <xf numFmtId="0" fontId="3" fillId="0" borderId="0" xfId="0" applyFont="1" applyFill="1" applyBorder="1" applyAlignment="1">
      <alignment shrinkToFit="1"/>
    </xf>
    <xf numFmtId="4" fontId="3" fillId="0" borderId="0" xfId="0" applyNumberFormat="1" applyFont="1" applyFill="1" applyBorder="1"/>
    <xf numFmtId="4" fontId="5" fillId="8" borderId="1" xfId="0" applyNumberFormat="1" applyFont="1" applyFill="1" applyBorder="1" applyAlignment="1">
      <alignment horizontal="right" wrapText="1"/>
    </xf>
    <xf numFmtId="4" fontId="3" fillId="8" borderId="1" xfId="0" applyNumberFormat="1" applyFont="1" applyFill="1" applyBorder="1"/>
    <xf numFmtId="4" fontId="3" fillId="8" borderId="1" xfId="0" applyNumberFormat="1" applyFont="1" applyFill="1" applyBorder="1" applyAlignment="1">
      <alignment horizontal="right" wrapText="1"/>
    </xf>
    <xf numFmtId="187" fontId="3" fillId="8" borderId="1" xfId="1" applyFont="1" applyFill="1" applyBorder="1" applyAlignment="1">
      <alignment horizontal="right" wrapText="1"/>
    </xf>
    <xf numFmtId="4" fontId="3" fillId="8" borderId="22" xfId="0" applyNumberFormat="1" applyFont="1" applyFill="1" applyBorder="1" applyAlignment="1">
      <alignment shrinkToFit="1"/>
    </xf>
    <xf numFmtId="187" fontId="5" fillId="8" borderId="1" xfId="1" applyFont="1" applyFill="1" applyBorder="1" applyAlignment="1">
      <alignment horizontal="right" wrapText="1"/>
    </xf>
    <xf numFmtId="4" fontId="5" fillId="8" borderId="1" xfId="0" applyNumberFormat="1" applyFont="1" applyFill="1" applyBorder="1" applyAlignment="1">
      <alignment horizontal="center"/>
    </xf>
    <xf numFmtId="187" fontId="42" fillId="0" borderId="97" xfId="1" applyFont="1" applyFill="1" applyBorder="1" applyAlignment="1">
      <alignment horizontal="right" wrapText="1"/>
    </xf>
    <xf numFmtId="188" fontId="25" fillId="2" borderId="65" xfId="1" applyNumberFormat="1" applyFont="1" applyFill="1" applyBorder="1" applyAlignment="1">
      <alignment horizontal="right" vertical="top"/>
    </xf>
    <xf numFmtId="2" fontId="25" fillId="0" borderId="65" xfId="0" applyNumberFormat="1" applyFont="1" applyFill="1" applyBorder="1" applyAlignment="1">
      <alignment horizontal="center" vertical="center" shrinkToFit="1"/>
    </xf>
    <xf numFmtId="187" fontId="25" fillId="0" borderId="74" xfId="1" applyFont="1" applyFill="1" applyBorder="1" applyAlignment="1"/>
    <xf numFmtId="4" fontId="25" fillId="6" borderId="36" xfId="0" applyNumberFormat="1" applyFont="1" applyFill="1" applyBorder="1" applyAlignment="1">
      <alignment horizontal="center"/>
    </xf>
    <xf numFmtId="2" fontId="25" fillId="6" borderId="65" xfId="0" applyNumberFormat="1" applyFont="1" applyFill="1" applyBorder="1" applyAlignment="1">
      <alignment horizontal="center" vertical="top" wrapText="1"/>
    </xf>
    <xf numFmtId="2" fontId="25" fillId="6" borderId="74" xfId="2" applyNumberFormat="1" applyFont="1" applyFill="1" applyBorder="1" applyAlignment="1">
      <alignment wrapText="1"/>
    </xf>
    <xf numFmtId="187" fontId="25" fillId="6" borderId="65" xfId="1" applyFont="1" applyFill="1" applyBorder="1" applyAlignment="1">
      <alignment horizontal="right" wrapText="1"/>
    </xf>
    <xf numFmtId="187" fontId="25" fillId="6" borderId="65" xfId="0" applyNumberFormat="1" applyFont="1" applyFill="1" applyBorder="1" applyAlignment="1">
      <alignment vertical="top"/>
    </xf>
    <xf numFmtId="188" fontId="25" fillId="6" borderId="65" xfId="1" applyNumberFormat="1" applyFont="1" applyFill="1" applyBorder="1" applyAlignment="1">
      <alignment horizontal="right" vertical="top"/>
    </xf>
    <xf numFmtId="2" fontId="25" fillId="6" borderId="65" xfId="0" applyNumberFormat="1" applyFont="1" applyFill="1" applyBorder="1" applyAlignment="1">
      <alignment horizontal="center" vertical="center" shrinkToFit="1"/>
    </xf>
    <xf numFmtId="187" fontId="25" fillId="6" borderId="74" xfId="1" applyFont="1" applyFill="1" applyBorder="1"/>
    <xf numFmtId="187" fontId="25" fillId="6" borderId="65" xfId="1" applyFont="1" applyFill="1" applyBorder="1" applyAlignment="1">
      <alignment horizontal="right" vertical="top" wrapText="1"/>
    </xf>
    <xf numFmtId="4" fontId="25" fillId="6" borderId="2" xfId="0" applyNumberFormat="1" applyFont="1" applyFill="1" applyBorder="1"/>
    <xf numFmtId="188" fontId="25" fillId="6" borderId="65" xfId="1" applyNumberFormat="1" applyFont="1" applyFill="1" applyBorder="1" applyAlignment="1">
      <alignment horizontal="center"/>
    </xf>
    <xf numFmtId="2" fontId="25" fillId="6" borderId="65" xfId="0" applyNumberFormat="1" applyFont="1" applyFill="1" applyBorder="1" applyAlignment="1">
      <alignment horizontal="center"/>
    </xf>
    <xf numFmtId="187" fontId="25" fillId="6" borderId="5" xfId="1" applyFont="1" applyFill="1" applyBorder="1"/>
    <xf numFmtId="0" fontId="25" fillId="6" borderId="0" xfId="0" applyFont="1" applyFill="1"/>
    <xf numFmtId="2" fontId="25" fillId="2" borderId="65" xfId="0" applyNumberFormat="1" applyFont="1" applyFill="1" applyBorder="1" applyAlignment="1">
      <alignment horizontal="center" vertical="top" wrapText="1"/>
    </xf>
    <xf numFmtId="2" fontId="25" fillId="2" borderId="74" xfId="2" applyNumberFormat="1" applyFont="1" applyFill="1" applyBorder="1" applyAlignment="1">
      <alignment wrapText="1"/>
    </xf>
    <xf numFmtId="187" fontId="25" fillId="2" borderId="65" xfId="1" applyFont="1" applyFill="1" applyBorder="1" applyAlignment="1">
      <alignment horizontal="right" wrapText="1"/>
    </xf>
    <xf numFmtId="187" fontId="25" fillId="2" borderId="65" xfId="0" applyNumberFormat="1" applyFont="1" applyFill="1" applyBorder="1" applyAlignment="1">
      <alignment vertical="top"/>
    </xf>
    <xf numFmtId="2" fontId="25" fillId="2" borderId="65" xfId="0" applyNumberFormat="1" applyFont="1" applyFill="1" applyBorder="1" applyAlignment="1">
      <alignment horizontal="center" vertical="center" shrinkToFit="1"/>
    </xf>
    <xf numFmtId="187" fontId="25" fillId="2" borderId="74" xfId="1" applyFont="1" applyFill="1" applyBorder="1"/>
    <xf numFmtId="187" fontId="25" fillId="0" borderId="65" xfId="1" applyFont="1" applyFill="1" applyBorder="1" applyAlignment="1">
      <alignment horizontal="right" vertical="top" wrapText="1"/>
    </xf>
    <xf numFmtId="4" fontId="25" fillId="0" borderId="2" xfId="0" applyNumberFormat="1" applyFont="1" applyFill="1" applyBorder="1"/>
    <xf numFmtId="188" fontId="25" fillId="0" borderId="65" xfId="1" applyNumberFormat="1" applyFont="1" applyFill="1" applyBorder="1" applyAlignment="1">
      <alignment horizontal="center"/>
    </xf>
    <xf numFmtId="2" fontId="25" fillId="0" borderId="65" xfId="0" applyNumberFormat="1" applyFont="1" applyFill="1" applyBorder="1" applyAlignment="1">
      <alignment horizontal="center"/>
    </xf>
    <xf numFmtId="187" fontId="25" fillId="0" borderId="5" xfId="1" applyFont="1" applyFill="1" applyBorder="1"/>
    <xf numFmtId="4" fontId="25" fillId="2" borderId="36" xfId="0" applyNumberFormat="1" applyFont="1" applyFill="1" applyBorder="1" applyAlignment="1">
      <alignment horizontal="center"/>
    </xf>
    <xf numFmtId="0" fontId="25" fillId="2" borderId="0" xfId="0" applyFont="1" applyFill="1"/>
    <xf numFmtId="187" fontId="25" fillId="2" borderId="65" xfId="1" applyFont="1" applyFill="1" applyBorder="1" applyAlignment="1">
      <alignment horizontal="right" vertical="top" wrapText="1"/>
    </xf>
    <xf numFmtId="2" fontId="25" fillId="6" borderId="65" xfId="0" applyNumberFormat="1" applyFont="1" applyFill="1" applyBorder="1" applyAlignment="1">
      <alignment horizontal="center" wrapText="1"/>
    </xf>
    <xf numFmtId="2" fontId="25" fillId="6" borderId="65" xfId="2" applyNumberFormat="1" applyFont="1" applyFill="1" applyBorder="1" applyAlignment="1">
      <alignment wrapText="1"/>
    </xf>
    <xf numFmtId="187" fontId="25" fillId="6" borderId="74" xfId="1" applyFont="1" applyFill="1" applyBorder="1" applyAlignment="1"/>
    <xf numFmtId="4" fontId="25" fillId="0" borderId="65" xfId="1" applyNumberFormat="1" applyFont="1" applyFill="1" applyBorder="1" applyAlignment="1">
      <alignment horizontal="right" wrapText="1"/>
    </xf>
    <xf numFmtId="0" fontId="25" fillId="6" borderId="0" xfId="0" applyFont="1" applyFill="1" applyAlignment="1"/>
    <xf numFmtId="4" fontId="25" fillId="6" borderId="65" xfId="1" applyNumberFormat="1" applyFont="1" applyFill="1" applyBorder="1" applyAlignment="1">
      <alignment horizontal="center" vertical="center" shrinkToFit="1"/>
    </xf>
    <xf numFmtId="4" fontId="25" fillId="0" borderId="65" xfId="1" applyNumberFormat="1" applyFont="1" applyFill="1" applyBorder="1" applyAlignment="1">
      <alignment horizontal="center" vertical="center" shrinkToFit="1"/>
    </xf>
    <xf numFmtId="4" fontId="25" fillId="0" borderId="65" xfId="1" applyNumberFormat="1" applyFont="1" applyFill="1" applyBorder="1" applyAlignment="1">
      <alignment horizontal="center" wrapText="1"/>
    </xf>
    <xf numFmtId="2" fontId="25" fillId="2" borderId="65" xfId="0" applyNumberFormat="1" applyFont="1" applyFill="1" applyBorder="1" applyAlignment="1">
      <alignment horizontal="center" wrapText="1"/>
    </xf>
    <xf numFmtId="2" fontId="25" fillId="2" borderId="65" xfId="2" applyNumberFormat="1" applyFont="1" applyFill="1" applyBorder="1" applyAlignment="1">
      <alignment wrapText="1"/>
    </xf>
    <xf numFmtId="4" fontId="25" fillId="2" borderId="65" xfId="1" applyNumberFormat="1" applyFont="1" applyFill="1" applyBorder="1" applyAlignment="1">
      <alignment horizontal="center" vertical="center" shrinkToFit="1"/>
    </xf>
    <xf numFmtId="187" fontId="25" fillId="2" borderId="74" xfId="1" applyFont="1" applyFill="1" applyBorder="1" applyAlignment="1"/>
    <xf numFmtId="0" fontId="25" fillId="2" borderId="0" xfId="0" applyFont="1" applyFill="1" applyAlignment="1"/>
    <xf numFmtId="187" fontId="8" fillId="2" borderId="0" xfId="1" applyFont="1" applyFill="1" applyAlignment="1">
      <alignment horizontal="center"/>
    </xf>
    <xf numFmtId="187" fontId="8" fillId="2" borderId="0" xfId="0" applyNumberFormat="1" applyFont="1" applyFill="1"/>
    <xf numFmtId="187" fontId="8" fillId="2" borderId="65" xfId="1" applyFont="1" applyFill="1" applyBorder="1" applyAlignment="1">
      <alignment horizontal="right" vertical="top" wrapText="1"/>
    </xf>
    <xf numFmtId="187" fontId="8" fillId="2" borderId="65" xfId="0" applyNumberFormat="1" applyFont="1" applyFill="1" applyBorder="1" applyAlignment="1">
      <alignment vertical="top"/>
    </xf>
    <xf numFmtId="2" fontId="8" fillId="2" borderId="65" xfId="0" applyNumberFormat="1" applyFont="1" applyFill="1" applyBorder="1" applyAlignment="1">
      <alignment horizontal="center" vertical="center" shrinkToFit="1"/>
    </xf>
    <xf numFmtId="187" fontId="8" fillId="0" borderId="65" xfId="1" applyFont="1" applyFill="1" applyBorder="1" applyAlignment="1">
      <alignment horizontal="right" vertical="top" wrapText="1"/>
    </xf>
    <xf numFmtId="43" fontId="8" fillId="2" borderId="0" xfId="0" applyNumberFormat="1" applyFont="1" applyFill="1"/>
    <xf numFmtId="2" fontId="25" fillId="18" borderId="65" xfId="0" applyNumberFormat="1" applyFont="1" applyFill="1" applyBorder="1" applyAlignment="1">
      <alignment horizontal="center" wrapText="1"/>
    </xf>
    <xf numFmtId="2" fontId="25" fillId="18" borderId="65" xfId="2" applyNumberFormat="1" applyFont="1" applyFill="1" applyBorder="1" applyAlignment="1">
      <alignment wrapText="1"/>
    </xf>
    <xf numFmtId="187" fontId="25" fillId="18" borderId="65" xfId="1" applyFont="1" applyFill="1" applyBorder="1" applyAlignment="1">
      <alignment horizontal="right" wrapText="1"/>
    </xf>
    <xf numFmtId="187" fontId="25" fillId="18" borderId="65" xfId="0" applyNumberFormat="1" applyFont="1" applyFill="1" applyBorder="1" applyAlignment="1">
      <alignment vertical="top"/>
    </xf>
    <xf numFmtId="188" fontId="25" fillId="18" borderId="65" xfId="1" applyNumberFormat="1" applyFont="1" applyFill="1" applyBorder="1" applyAlignment="1">
      <alignment horizontal="right" vertical="top"/>
    </xf>
    <xf numFmtId="4" fontId="25" fillId="18" borderId="65" xfId="1" applyNumberFormat="1" applyFont="1" applyFill="1" applyBorder="1" applyAlignment="1">
      <alignment horizontal="center" vertical="center" shrinkToFit="1"/>
    </xf>
    <xf numFmtId="187" fontId="25" fillId="18" borderId="74" xfId="1" applyFont="1" applyFill="1" applyBorder="1" applyAlignment="1"/>
    <xf numFmtId="4" fontId="25" fillId="18" borderId="65" xfId="1" applyNumberFormat="1" applyFont="1" applyFill="1" applyBorder="1" applyAlignment="1">
      <alignment horizontal="right" wrapText="1"/>
    </xf>
    <xf numFmtId="3" fontId="25" fillId="18" borderId="65" xfId="1" applyNumberFormat="1" applyFont="1" applyFill="1" applyBorder="1" applyAlignment="1">
      <alignment horizontal="right" wrapText="1"/>
    </xf>
    <xf numFmtId="4" fontId="25" fillId="18" borderId="65" xfId="1" applyNumberFormat="1" applyFont="1" applyFill="1" applyBorder="1" applyAlignment="1">
      <alignment horizontal="center" wrapText="1"/>
    </xf>
    <xf numFmtId="4" fontId="25" fillId="18" borderId="36" xfId="0" applyNumberFormat="1" applyFont="1" applyFill="1" applyBorder="1" applyAlignment="1">
      <alignment horizontal="center"/>
    </xf>
    <xf numFmtId="0" fontId="25" fillId="18" borderId="0" xfId="0" applyFont="1" applyFill="1" applyAlignment="1"/>
    <xf numFmtId="2" fontId="25" fillId="18" borderId="65" xfId="0" quotePrefix="1" applyNumberFormat="1" applyFont="1" applyFill="1" applyBorder="1" applyAlignment="1">
      <alignment horizontal="center" wrapText="1"/>
    </xf>
    <xf numFmtId="187" fontId="25" fillId="18" borderId="65" xfId="1" applyFont="1" applyFill="1" applyBorder="1" applyAlignment="1">
      <alignment horizontal="right" vertical="top" wrapText="1"/>
    </xf>
    <xf numFmtId="4" fontId="25" fillId="18" borderId="0" xfId="1" applyNumberFormat="1" applyFont="1" applyFill="1" applyBorder="1" applyAlignment="1">
      <alignment horizontal="center" vertical="center" shrinkToFit="1"/>
    </xf>
    <xf numFmtId="2" fontId="8" fillId="0" borderId="65" xfId="0" applyNumberFormat="1" applyFont="1" applyFill="1" applyBorder="1" applyAlignment="1">
      <alignment horizontal="center" wrapText="1"/>
    </xf>
    <xf numFmtId="2" fontId="8" fillId="0" borderId="65" xfId="2" applyNumberFormat="1" applyFont="1" applyFill="1" applyBorder="1" applyAlignment="1">
      <alignment wrapText="1"/>
    </xf>
    <xf numFmtId="187" fontId="5" fillId="0" borderId="65" xfId="1" applyFont="1" applyFill="1" applyBorder="1" applyAlignment="1">
      <alignment horizontal="right" wrapText="1"/>
    </xf>
    <xf numFmtId="187" fontId="5" fillId="0" borderId="65" xfId="0" applyNumberFormat="1" applyFont="1" applyFill="1" applyBorder="1" applyAlignment="1">
      <alignment vertical="top"/>
    </xf>
    <xf numFmtId="188" fontId="8" fillId="0" borderId="65" xfId="1" applyNumberFormat="1" applyFont="1" applyFill="1" applyBorder="1" applyAlignment="1">
      <alignment horizontal="right" vertical="top"/>
    </xf>
    <xf numFmtId="4" fontId="8" fillId="0" borderId="36" xfId="0" applyNumberFormat="1" applyFont="1" applyFill="1" applyBorder="1" applyAlignment="1">
      <alignment horizontal="center"/>
    </xf>
    <xf numFmtId="0" fontId="8" fillId="0" borderId="0" xfId="0" applyFont="1" applyFill="1" applyAlignment="1"/>
    <xf numFmtId="187" fontId="2" fillId="0" borderId="97" xfId="1" applyFont="1" applyFill="1" applyBorder="1" applyAlignment="1">
      <alignment horizontal="right" wrapText="1"/>
    </xf>
    <xf numFmtId="0" fontId="8" fillId="0" borderId="92" xfId="0" applyFont="1" applyFill="1" applyBorder="1" applyAlignment="1">
      <alignment vertical="center" wrapText="1" shrinkToFit="1"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87" fontId="8" fillId="0" borderId="65" xfId="1" applyFont="1" applyFill="1" applyBorder="1" applyAlignment="1">
      <alignment horizontal="right" wrapText="1"/>
    </xf>
    <xf numFmtId="187" fontId="8" fillId="0" borderId="65" xfId="0" applyNumberFormat="1" applyFont="1" applyFill="1" applyBorder="1" applyAlignment="1">
      <alignment vertical="top"/>
    </xf>
    <xf numFmtId="4" fontId="8" fillId="0" borderId="65" xfId="1" applyNumberFormat="1" applyFont="1" applyFill="1" applyBorder="1" applyAlignment="1">
      <alignment horizontal="center" vertical="center" shrinkToFit="1"/>
    </xf>
    <xf numFmtId="188" fontId="8" fillId="0" borderId="1" xfId="1" applyNumberFormat="1" applyFont="1" applyFill="1" applyBorder="1" applyAlignment="1">
      <alignment horizontal="right" vertical="center"/>
    </xf>
    <xf numFmtId="187" fontId="8" fillId="6" borderId="65" xfId="1" applyFont="1" applyFill="1" applyBorder="1" applyAlignment="1">
      <alignment horizontal="right" wrapText="1"/>
    </xf>
    <xf numFmtId="187" fontId="8" fillId="6" borderId="65" xfId="0" applyNumberFormat="1" applyFont="1" applyFill="1" applyBorder="1" applyAlignment="1">
      <alignment vertical="top"/>
    </xf>
    <xf numFmtId="3" fontId="8" fillId="6" borderId="65" xfId="1" applyNumberFormat="1" applyFont="1" applyFill="1" applyBorder="1" applyAlignment="1">
      <alignment horizontal="right" wrapText="1"/>
    </xf>
    <xf numFmtId="4" fontId="8" fillId="6" borderId="65" xfId="1" applyNumberFormat="1" applyFont="1" applyFill="1" applyBorder="1" applyAlignment="1">
      <alignment horizontal="center" vertical="center" shrinkToFit="1"/>
    </xf>
    <xf numFmtId="189" fontId="8" fillId="2" borderId="0" xfId="0" applyNumberFormat="1" applyFont="1" applyFill="1"/>
    <xf numFmtId="2" fontId="8" fillId="6" borderId="65" xfId="0" applyNumberFormat="1" applyFont="1" applyFill="1" applyBorder="1" applyAlignment="1">
      <alignment horizontal="center" vertical="center" shrinkToFit="1"/>
    </xf>
    <xf numFmtId="4" fontId="24" fillId="0" borderId="65" xfId="1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6" fillId="17" borderId="22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 wrapText="1"/>
    </xf>
    <xf numFmtId="0" fontId="5" fillId="16" borderId="4" xfId="0" applyFont="1" applyFill="1" applyBorder="1" applyAlignment="1">
      <alignment horizontal="center" wrapText="1"/>
    </xf>
    <xf numFmtId="0" fontId="5" fillId="14" borderId="22" xfId="0" applyFont="1" applyFill="1" applyBorder="1" applyAlignment="1">
      <alignment horizontal="center" wrapText="1"/>
    </xf>
    <xf numFmtId="0" fontId="5" fillId="14" borderId="3" xfId="0" applyFont="1" applyFill="1" applyBorder="1" applyAlignment="1">
      <alignment horizontal="center" wrapText="1"/>
    </xf>
    <xf numFmtId="0" fontId="5" fillId="14" borderId="4" xfId="0" applyFont="1" applyFill="1" applyBorder="1" applyAlignment="1">
      <alignment horizontal="center" wrapText="1"/>
    </xf>
    <xf numFmtId="0" fontId="3" fillId="14" borderId="2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7" fontId="8" fillId="2" borderId="0" xfId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3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6" fillId="0" borderId="52" xfId="0" applyFont="1" applyFill="1" applyBorder="1" applyAlignment="1">
      <alignment horizontal="center" shrinkToFit="1"/>
    </xf>
    <xf numFmtId="0" fontId="12" fillId="19" borderId="46" xfId="0" applyFont="1" applyFill="1" applyBorder="1" applyAlignment="1">
      <alignment horizontal="center"/>
    </xf>
    <xf numFmtId="0" fontId="12" fillId="19" borderId="4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" wrapText="1"/>
    </xf>
    <xf numFmtId="0" fontId="12" fillId="12" borderId="3" xfId="0" applyFont="1" applyFill="1" applyBorder="1" applyAlignment="1">
      <alignment horizontal="center" wrapText="1"/>
    </xf>
    <xf numFmtId="0" fontId="12" fillId="12" borderId="68" xfId="0" applyFont="1" applyFill="1" applyBorder="1" applyAlignment="1">
      <alignment horizontal="center" wrapText="1"/>
    </xf>
    <xf numFmtId="0" fontId="12" fillId="12" borderId="94" xfId="0" applyFont="1" applyFill="1" applyBorder="1" applyAlignment="1">
      <alignment horizontal="center" wrapText="1"/>
    </xf>
    <xf numFmtId="0" fontId="12" fillId="12" borderId="4" xfId="0" applyFont="1" applyFill="1" applyBorder="1" applyAlignment="1">
      <alignment horizontal="center" wrapText="1"/>
    </xf>
    <xf numFmtId="0" fontId="12" fillId="4" borderId="64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68" xfId="0" applyFont="1" applyFill="1" applyBorder="1" applyAlignment="1">
      <alignment horizontal="center" vertical="center" wrapText="1"/>
    </xf>
    <xf numFmtId="0" fontId="6" fillId="12" borderId="9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shrinkToFit="1"/>
    </xf>
    <xf numFmtId="0" fontId="6" fillId="0" borderId="6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93" zoomScaleSheetLayoutView="93" workbookViewId="0">
      <selection activeCell="B8" sqref="B8"/>
    </sheetView>
  </sheetViews>
  <sheetFormatPr defaultColWidth="8.85546875" defaultRowHeight="21" customHeight="1"/>
  <cols>
    <col min="1" max="1" width="8.85546875" style="2" customWidth="1"/>
    <col min="2" max="2" width="47" style="1" customWidth="1"/>
    <col min="3" max="6" width="18.7109375" style="1" customWidth="1"/>
    <col min="7" max="7" width="17.85546875" style="657" bestFit="1" customWidth="1"/>
    <col min="8" max="8" width="16.140625" style="657" bestFit="1" customWidth="1"/>
    <col min="9" max="9" width="17.85546875" style="657" bestFit="1" customWidth="1"/>
    <col min="10" max="10" width="19" style="657" bestFit="1" customWidth="1"/>
    <col min="11" max="16384" width="8.85546875" style="1"/>
  </cols>
  <sheetData>
    <row r="1" spans="1:10" ht="21" customHeight="1">
      <c r="A1" s="767" t="s">
        <v>312</v>
      </c>
      <c r="B1" s="767"/>
      <c r="C1" s="767"/>
      <c r="D1" s="767"/>
      <c r="E1" s="767"/>
      <c r="F1" s="767"/>
      <c r="G1" s="658"/>
    </row>
    <row r="2" spans="1:10" ht="21" customHeight="1">
      <c r="A2" s="767" t="s">
        <v>487</v>
      </c>
      <c r="B2" s="767"/>
      <c r="C2" s="767"/>
      <c r="D2" s="767"/>
      <c r="E2" s="767"/>
      <c r="F2" s="767"/>
      <c r="G2" s="658"/>
    </row>
    <row r="4" spans="1:10" s="74" customFormat="1" ht="21" customHeight="1">
      <c r="A4" s="3" t="s">
        <v>10</v>
      </c>
      <c r="B4" s="3" t="s">
        <v>352</v>
      </c>
      <c r="C4" s="3" t="s">
        <v>11</v>
      </c>
      <c r="D4" s="3" t="s">
        <v>12</v>
      </c>
      <c r="E4" s="3" t="s">
        <v>0</v>
      </c>
      <c r="F4" s="3" t="s">
        <v>1</v>
      </c>
      <c r="G4" s="659"/>
      <c r="H4" s="659"/>
      <c r="I4" s="659"/>
      <c r="J4" s="659"/>
    </row>
    <row r="5" spans="1:10" s="413" customFormat="1" ht="21" customHeight="1">
      <c r="A5" s="414" t="s">
        <v>2</v>
      </c>
      <c r="B5" s="416" t="s">
        <v>13</v>
      </c>
      <c r="C5" s="419">
        <v>1725534450.51</v>
      </c>
      <c r="D5" s="419">
        <v>1351950</v>
      </c>
      <c r="E5" s="419">
        <v>195605826.33000001</v>
      </c>
      <c r="F5" s="419">
        <v>1922492226.8399999</v>
      </c>
      <c r="G5" s="660"/>
      <c r="H5" s="660"/>
      <c r="I5" s="660"/>
      <c r="J5" s="660"/>
    </row>
    <row r="6" spans="1:10" s="413" customFormat="1" ht="21" customHeight="1">
      <c r="A6" s="414" t="s">
        <v>3</v>
      </c>
      <c r="B6" s="416" t="s">
        <v>14</v>
      </c>
      <c r="C6" s="419">
        <v>149931765.30000001</v>
      </c>
      <c r="D6" s="419">
        <v>89926945.299999997</v>
      </c>
      <c r="E6" s="419">
        <v>37577946.25</v>
      </c>
      <c r="F6" s="419">
        <v>277436656.85000002</v>
      </c>
      <c r="G6" s="660"/>
      <c r="H6" s="660"/>
      <c r="I6" s="660"/>
      <c r="J6" s="660"/>
    </row>
    <row r="7" spans="1:10" s="413" customFormat="1" ht="21" customHeight="1">
      <c r="A7" s="414" t="s">
        <v>4</v>
      </c>
      <c r="B7" s="416" t="s">
        <v>15</v>
      </c>
      <c r="C7" s="419">
        <v>68450901.290000007</v>
      </c>
      <c r="D7" s="419">
        <v>529839</v>
      </c>
      <c r="E7" s="419">
        <v>29320474</v>
      </c>
      <c r="F7" s="419">
        <v>98301214.290000007</v>
      </c>
      <c r="G7" s="660"/>
      <c r="H7" s="660"/>
      <c r="I7" s="660"/>
      <c r="J7" s="660"/>
    </row>
    <row r="8" spans="1:10" s="413" customFormat="1" ht="21" customHeight="1">
      <c r="A8" s="414" t="s">
        <v>5</v>
      </c>
      <c r="B8" s="416" t="s">
        <v>293</v>
      </c>
      <c r="C8" s="419">
        <v>2329343428.3000002</v>
      </c>
      <c r="D8" s="419">
        <v>224691078.11000001</v>
      </c>
      <c r="E8" s="419">
        <v>8207780813.0900002</v>
      </c>
      <c r="F8" s="419">
        <v>10761815319.5</v>
      </c>
      <c r="G8" s="660"/>
      <c r="H8" s="660"/>
      <c r="I8" s="660"/>
      <c r="J8" s="660"/>
    </row>
    <row r="9" spans="1:10" s="413" customFormat="1" ht="21" customHeight="1">
      <c r="A9" s="414" t="s">
        <v>6</v>
      </c>
      <c r="B9" s="416" t="s">
        <v>16</v>
      </c>
      <c r="C9" s="419">
        <v>465443744.22000003</v>
      </c>
      <c r="D9" s="419">
        <v>250348430.84</v>
      </c>
      <c r="E9" s="419">
        <v>369546968.13</v>
      </c>
      <c r="F9" s="419">
        <v>1085339143.1900001</v>
      </c>
      <c r="G9" s="660"/>
      <c r="H9" s="660"/>
      <c r="I9" s="660"/>
      <c r="J9" s="660"/>
    </row>
    <row r="10" spans="1:10" s="413" customFormat="1" ht="21" customHeight="1">
      <c r="A10" s="414" t="s">
        <v>7</v>
      </c>
      <c r="B10" s="416" t="s">
        <v>17</v>
      </c>
      <c r="C10" s="419">
        <v>9000000</v>
      </c>
      <c r="D10" s="420"/>
      <c r="E10" s="420"/>
      <c r="F10" s="419">
        <v>9000000</v>
      </c>
      <c r="G10" s="660"/>
      <c r="H10" s="660"/>
      <c r="I10" s="660"/>
      <c r="J10" s="660"/>
    </row>
    <row r="11" spans="1:10" s="413" customFormat="1" ht="21" customHeight="1">
      <c r="A11" s="414" t="s">
        <v>8</v>
      </c>
      <c r="B11" s="416" t="s">
        <v>18</v>
      </c>
      <c r="C11" s="419">
        <v>7291660.1600000001</v>
      </c>
      <c r="D11" s="420"/>
      <c r="E11" s="419">
        <v>199600</v>
      </c>
      <c r="F11" s="419">
        <v>7491260.1600000001</v>
      </c>
      <c r="G11" s="660"/>
      <c r="H11" s="660"/>
      <c r="I11" s="660"/>
      <c r="J11" s="660"/>
    </row>
    <row r="12" spans="1:10" s="413" customFormat="1" ht="21" customHeight="1">
      <c r="A12" s="418">
        <v>5112</v>
      </c>
      <c r="B12" s="417" t="s">
        <v>488</v>
      </c>
      <c r="C12" s="419">
        <v>3000</v>
      </c>
      <c r="D12" s="420"/>
      <c r="E12" s="420"/>
      <c r="F12" s="419">
        <v>3000</v>
      </c>
      <c r="G12" s="660"/>
      <c r="H12" s="660"/>
      <c r="I12" s="660"/>
      <c r="J12" s="660"/>
    </row>
    <row r="13" spans="1:10" s="413" customFormat="1" ht="21" customHeight="1">
      <c r="A13" s="414" t="s">
        <v>442</v>
      </c>
      <c r="B13" s="416" t="s">
        <v>444</v>
      </c>
      <c r="C13" s="419">
        <v>14600</v>
      </c>
      <c r="D13" s="420"/>
      <c r="E13" s="420"/>
      <c r="F13" s="419">
        <v>14600</v>
      </c>
      <c r="G13" s="660"/>
      <c r="H13" s="660"/>
      <c r="I13" s="660"/>
      <c r="J13" s="660"/>
    </row>
    <row r="14" spans="1:10" s="413" customFormat="1" ht="21" customHeight="1">
      <c r="A14" s="414" t="s">
        <v>443</v>
      </c>
      <c r="B14" s="416" t="s">
        <v>19</v>
      </c>
      <c r="C14" s="419">
        <v>394153</v>
      </c>
      <c r="D14" s="419">
        <v>8958688.5199999996</v>
      </c>
      <c r="E14" s="419">
        <v>785600</v>
      </c>
      <c r="F14" s="419">
        <v>10138441.52</v>
      </c>
      <c r="G14" s="660"/>
      <c r="H14" s="660"/>
      <c r="I14" s="660"/>
      <c r="J14" s="660"/>
    </row>
    <row r="15" spans="1:10" s="413" customFormat="1" ht="21" customHeight="1">
      <c r="A15" s="415">
        <v>5211</v>
      </c>
      <c r="B15" s="417" t="s">
        <v>489</v>
      </c>
      <c r="C15" s="420"/>
      <c r="D15" s="419">
        <v>29312373.809999999</v>
      </c>
      <c r="E15" s="420"/>
      <c r="F15" s="419">
        <v>29312373.809999999</v>
      </c>
      <c r="G15" s="660"/>
      <c r="H15" s="660"/>
      <c r="I15" s="660"/>
      <c r="J15" s="660"/>
    </row>
    <row r="16" spans="1:10" s="413" customFormat="1" ht="21" customHeight="1">
      <c r="A16" s="414" t="s">
        <v>9</v>
      </c>
      <c r="B16" s="416" t="s">
        <v>313</v>
      </c>
      <c r="C16" s="419">
        <v>1516936.95</v>
      </c>
      <c r="D16" s="419">
        <v>2667618.48</v>
      </c>
      <c r="E16" s="419">
        <v>17402566</v>
      </c>
      <c r="F16" s="419">
        <v>21587121.43</v>
      </c>
      <c r="G16" s="660"/>
      <c r="H16" s="660"/>
      <c r="I16" s="660"/>
      <c r="J16" s="660"/>
    </row>
    <row r="17" spans="1:10" s="4" customFormat="1" ht="21" customHeight="1">
      <c r="A17" s="3"/>
      <c r="B17" s="177" t="s">
        <v>21</v>
      </c>
      <c r="C17" s="178">
        <f>SUM(C5:C16)</f>
        <v>4756924639.7299995</v>
      </c>
      <c r="D17" s="178">
        <f t="shared" ref="D17:F17" si="0">SUM(D5:D16)</f>
        <v>607786924.05999994</v>
      </c>
      <c r="E17" s="178">
        <f t="shared" si="0"/>
        <v>8858219793.7999992</v>
      </c>
      <c r="F17" s="178">
        <f t="shared" si="0"/>
        <v>14222931357.59</v>
      </c>
      <c r="G17" s="661"/>
      <c r="H17" s="661"/>
      <c r="I17" s="661"/>
      <c r="J17" s="661"/>
    </row>
    <row r="18" spans="1:10" ht="21" customHeight="1">
      <c r="A18" s="5"/>
      <c r="B18" s="6"/>
      <c r="C18" s="6"/>
      <c r="D18" s="6"/>
      <c r="E18" s="6"/>
      <c r="F18" s="6"/>
    </row>
    <row r="19" spans="1:10" ht="21" customHeight="1">
      <c r="C19" s="657"/>
      <c r="D19" s="657"/>
      <c r="E19" s="657"/>
      <c r="F19" s="657"/>
    </row>
    <row r="20" spans="1:10" ht="21" customHeight="1">
      <c r="C20" s="657"/>
      <c r="D20" s="657"/>
      <c r="E20" s="657"/>
      <c r="F20" s="657"/>
    </row>
    <row r="21" spans="1:10" ht="21" customHeight="1">
      <c r="C21" s="657"/>
      <c r="D21" s="657"/>
      <c r="E21" s="657"/>
      <c r="F21" s="657"/>
    </row>
    <row r="22" spans="1:10" ht="21" customHeight="1">
      <c r="C22" s="657"/>
      <c r="D22" s="657"/>
      <c r="E22" s="657"/>
      <c r="F22" s="657"/>
    </row>
    <row r="23" spans="1:10" ht="21" customHeight="1">
      <c r="C23" s="657"/>
      <c r="D23" s="657"/>
      <c r="E23" s="657"/>
      <c r="F23" s="657"/>
    </row>
    <row r="24" spans="1:10" ht="21" customHeight="1">
      <c r="C24" s="657"/>
      <c r="D24" s="657"/>
      <c r="E24" s="657"/>
      <c r="F24" s="657"/>
    </row>
    <row r="25" spans="1:10" ht="21" customHeight="1">
      <c r="C25" s="657"/>
      <c r="D25" s="657"/>
      <c r="E25" s="657"/>
      <c r="F25" s="657"/>
    </row>
    <row r="26" spans="1:10" ht="21" customHeight="1">
      <c r="C26" s="657"/>
      <c r="D26" s="657"/>
      <c r="E26" s="657"/>
      <c r="F26" s="657"/>
    </row>
    <row r="27" spans="1:10" ht="21" customHeight="1">
      <c r="C27" s="657"/>
      <c r="D27" s="657"/>
      <c r="E27" s="657"/>
      <c r="F27" s="657"/>
    </row>
    <row r="28" spans="1:10" ht="21" customHeight="1">
      <c r="C28" s="657"/>
      <c r="D28" s="657"/>
      <c r="E28" s="657"/>
      <c r="F28" s="657"/>
    </row>
    <row r="29" spans="1:10" ht="21" customHeight="1">
      <c r="C29" s="657"/>
      <c r="D29" s="657"/>
      <c r="E29" s="657"/>
      <c r="F29" s="657"/>
    </row>
    <row r="30" spans="1:10" ht="21" customHeight="1">
      <c r="C30" s="657"/>
      <c r="D30" s="657"/>
      <c r="E30" s="657"/>
      <c r="F30" s="657"/>
    </row>
    <row r="31" spans="1:10" ht="21" customHeight="1">
      <c r="C31" s="657"/>
      <c r="D31" s="657"/>
      <c r="E31" s="657"/>
      <c r="F31" s="657"/>
    </row>
    <row r="32" spans="1:10" ht="21" customHeight="1">
      <c r="D32" s="412"/>
      <c r="F32" s="412"/>
    </row>
    <row r="33" spans="3:6" ht="21" customHeight="1">
      <c r="C33" s="412"/>
      <c r="D33" s="412"/>
      <c r="E33" s="412"/>
      <c r="F33" s="412"/>
    </row>
    <row r="35" spans="3:6" ht="21" customHeight="1">
      <c r="C35" s="412"/>
      <c r="D35" s="412"/>
      <c r="E35" s="412"/>
      <c r="F35" s="412"/>
    </row>
  </sheetData>
  <mergeCells count="2">
    <mergeCell ref="A1:F1"/>
    <mergeCell ref="A2:F2"/>
  </mergeCells>
  <pageMargins left="0.98425196850393704" right="0.86614173228346458" top="0.98425196850393704" bottom="0.98425196850393704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W27"/>
  <sheetViews>
    <sheetView view="pageBreakPreview" zoomScale="80" zoomScaleSheetLayoutView="80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P8" sqref="P8"/>
    </sheetView>
  </sheetViews>
  <sheetFormatPr defaultColWidth="6.85546875" defaultRowHeight="18.75"/>
  <cols>
    <col min="1" max="1" width="5.28515625" style="8" customWidth="1"/>
    <col min="2" max="2" width="64.7109375" style="26" customWidth="1"/>
    <col min="3" max="3" width="13.5703125" style="26" customWidth="1"/>
    <col min="4" max="4" width="13.42578125" style="26" customWidth="1"/>
    <col min="5" max="5" width="14.42578125" style="26" customWidth="1"/>
    <col min="6" max="6" width="13.42578125" style="26" customWidth="1"/>
    <col min="7" max="7" width="14.5703125" style="26" customWidth="1"/>
    <col min="8" max="8" width="6.28515625" style="26" customWidth="1"/>
    <col min="9" max="9" width="6.42578125" style="26" customWidth="1"/>
    <col min="10" max="10" width="10.85546875" style="26" customWidth="1"/>
    <col min="11" max="11" width="16.140625" style="26" customWidth="1"/>
    <col min="12" max="12" width="15.7109375" style="26" customWidth="1"/>
    <col min="13" max="13" width="14.42578125" style="26" customWidth="1"/>
    <col min="14" max="14" width="14" style="26" customWidth="1"/>
    <col min="15" max="15" width="17.140625" style="26" customWidth="1"/>
    <col min="16" max="16" width="7.28515625" style="46" customWidth="1"/>
    <col min="17" max="17" width="8.5703125" style="46" customWidth="1"/>
    <col min="18" max="18" width="12.85546875" style="46" customWidth="1"/>
    <col min="19" max="19" width="7.85546875" style="26" customWidth="1"/>
    <col min="20" max="20" width="7.140625" style="26" customWidth="1"/>
    <col min="21" max="21" width="7.42578125" style="26" customWidth="1"/>
    <col min="22" max="22" width="16.28515625" style="8" bestFit="1" customWidth="1"/>
    <col min="23" max="23" width="16.28515625" style="8" customWidth="1"/>
    <col min="24" max="24" width="7.42578125" style="8" bestFit="1" customWidth="1"/>
    <col min="25" max="25" width="7.140625" style="8" bestFit="1" customWidth="1"/>
    <col min="26" max="28" width="5.28515625" style="8" bestFit="1" customWidth="1"/>
    <col min="29" max="16384" width="6.85546875" style="8"/>
  </cols>
  <sheetData>
    <row r="1" spans="1:257" ht="30.75">
      <c r="A1" s="817" t="s">
        <v>279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</row>
    <row r="2" spans="1:257" ht="30.75">
      <c r="A2" s="817" t="s">
        <v>518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</row>
    <row r="3" spans="1:257" ht="24" thickBot="1">
      <c r="A3" s="1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1"/>
      <c r="Q3" s="41"/>
      <c r="R3" s="41"/>
      <c r="S3" s="27"/>
      <c r="T3" s="27"/>
      <c r="U3" s="27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</row>
    <row r="4" spans="1:257" ht="19.5" thickBot="1">
      <c r="A4" s="813" t="s">
        <v>10</v>
      </c>
      <c r="B4" s="815" t="s">
        <v>280</v>
      </c>
      <c r="C4" s="807" t="s">
        <v>441</v>
      </c>
      <c r="D4" s="807"/>
      <c r="E4" s="807"/>
      <c r="F4" s="807"/>
      <c r="G4" s="807"/>
      <c r="H4" s="807"/>
      <c r="I4" s="807"/>
      <c r="J4" s="808"/>
      <c r="K4" s="807" t="s">
        <v>519</v>
      </c>
      <c r="L4" s="807"/>
      <c r="M4" s="807"/>
      <c r="N4" s="807"/>
      <c r="O4" s="807"/>
      <c r="P4" s="807"/>
      <c r="Q4" s="807"/>
      <c r="R4" s="807"/>
      <c r="S4" s="809" t="s">
        <v>270</v>
      </c>
      <c r="T4" s="810"/>
      <c r="U4" s="8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</row>
    <row r="5" spans="1:257" ht="99" customHeight="1" thickBot="1">
      <c r="A5" s="814"/>
      <c r="B5" s="816"/>
      <c r="C5" s="30" t="s">
        <v>11</v>
      </c>
      <c r="D5" s="31" t="s">
        <v>12</v>
      </c>
      <c r="E5" s="31" t="s">
        <v>0</v>
      </c>
      <c r="F5" s="31" t="s">
        <v>244</v>
      </c>
      <c r="G5" s="32" t="s">
        <v>245</v>
      </c>
      <c r="H5" s="33" t="s">
        <v>246</v>
      </c>
      <c r="I5" s="32" t="s">
        <v>247</v>
      </c>
      <c r="J5" s="34" t="s">
        <v>248</v>
      </c>
      <c r="K5" s="30" t="s">
        <v>11</v>
      </c>
      <c r="L5" s="31" t="s">
        <v>12</v>
      </c>
      <c r="M5" s="31" t="s">
        <v>0</v>
      </c>
      <c r="N5" s="31" t="s">
        <v>244</v>
      </c>
      <c r="O5" s="32" t="s">
        <v>245</v>
      </c>
      <c r="P5" s="362" t="s">
        <v>246</v>
      </c>
      <c r="Q5" s="363" t="s">
        <v>247</v>
      </c>
      <c r="R5" s="364" t="s">
        <v>248</v>
      </c>
      <c r="S5" s="71" t="s">
        <v>277</v>
      </c>
      <c r="T5" s="72" t="s">
        <v>281</v>
      </c>
      <c r="U5" s="73" t="s">
        <v>282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</row>
    <row r="6" spans="1:257" ht="21" customHeight="1">
      <c r="A6" s="105">
        <v>201</v>
      </c>
      <c r="B6" s="102" t="s">
        <v>494</v>
      </c>
      <c r="C6" s="55">
        <v>198549062.781165</v>
      </c>
      <c r="D6" s="55">
        <v>633369.26506941346</v>
      </c>
      <c r="E6" s="55">
        <v>1950734.2208793052</v>
      </c>
      <c r="F6" s="55">
        <v>46348091.885676801</v>
      </c>
      <c r="G6" s="56">
        <v>247481258.15279055</v>
      </c>
      <c r="H6" s="200">
        <v>118</v>
      </c>
      <c r="I6" s="57" t="s">
        <v>278</v>
      </c>
      <c r="J6" s="385">
        <v>2097298.7979050046</v>
      </c>
      <c r="K6" s="389">
        <v>234095611.22943112</v>
      </c>
      <c r="L6" s="112">
        <v>41155564.156862617</v>
      </c>
      <c r="M6" s="112">
        <v>6824610.3114513382</v>
      </c>
      <c r="N6" s="112">
        <v>412976453.03921843</v>
      </c>
      <c r="O6" s="196">
        <f>SUM(K6:N6)</f>
        <v>695052238.73696351</v>
      </c>
      <c r="P6" s="346">
        <v>115</v>
      </c>
      <c r="Q6" s="347" t="s">
        <v>278</v>
      </c>
      <c r="R6" s="348">
        <f>O6/P6</f>
        <v>6043932.5107562048</v>
      </c>
      <c r="S6" s="113">
        <f>(((O6-G6)/G6)*100)</f>
        <v>180.8504546666926</v>
      </c>
      <c r="T6" s="113">
        <f>(((P6-H6)/H6)*100)</f>
        <v>-2.5423728813559325</v>
      </c>
      <c r="U6" s="113">
        <f>(((R6-J6)/J6)*100)</f>
        <v>188.17698826669331</v>
      </c>
      <c r="V6" s="226"/>
      <c r="W6" s="226"/>
      <c r="X6" s="226"/>
      <c r="Y6" s="226"/>
      <c r="Z6" s="226"/>
      <c r="AA6" s="226"/>
      <c r="AB6" s="22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</row>
    <row r="7" spans="1:257" ht="21" customHeight="1">
      <c r="A7" s="106">
        <v>202</v>
      </c>
      <c r="B7" s="103" t="s">
        <v>495</v>
      </c>
      <c r="C7" s="58">
        <f>48570+4000000</f>
        <v>4048570</v>
      </c>
      <c r="D7" s="58">
        <v>0</v>
      </c>
      <c r="E7" s="58">
        <v>0</v>
      </c>
      <c r="F7" s="58">
        <v>0</v>
      </c>
      <c r="G7" s="59">
        <f>SUM(C7:F7)</f>
        <v>4048570</v>
      </c>
      <c r="H7" s="282">
        <v>77</v>
      </c>
      <c r="I7" s="60" t="s">
        <v>348</v>
      </c>
      <c r="J7" s="386">
        <f>G7/H7</f>
        <v>52578.831168831166</v>
      </c>
      <c r="K7" s="390">
        <v>3903658.3759182608</v>
      </c>
      <c r="L7" s="112">
        <v>30660.261679858257</v>
      </c>
      <c r="M7" s="112">
        <v>26442.829209327909</v>
      </c>
      <c r="N7" s="112">
        <v>12525.040555107838</v>
      </c>
      <c r="O7" s="196">
        <f t="shared" ref="O7:O12" si="0">SUM(K7:N7)</f>
        <v>3973286.5073625548</v>
      </c>
      <c r="P7" s="365">
        <v>77</v>
      </c>
      <c r="Q7" s="349" t="s">
        <v>251</v>
      </c>
      <c r="R7" s="348">
        <f t="shared" ref="R7:R11" si="1">O7/P7</f>
        <v>51601.123472240972</v>
      </c>
      <c r="S7" s="113">
        <f>(((O7-G7)/G7)*100)</f>
        <v>-1.8595082371663383</v>
      </c>
      <c r="T7" s="113">
        <f>(((P7-H7)/H7)*100)</f>
        <v>0</v>
      </c>
      <c r="U7" s="113">
        <f>(((R7-J7)/J7)*100)</f>
        <v>-1.8595082371663316</v>
      </c>
      <c r="V7" s="226"/>
      <c r="W7" s="226"/>
      <c r="X7" s="226"/>
      <c r="Y7" s="226"/>
      <c r="Z7" s="226"/>
      <c r="AA7" s="226"/>
      <c r="AB7" s="226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</row>
    <row r="8" spans="1:257" ht="21" customHeight="1">
      <c r="A8" s="106">
        <v>203</v>
      </c>
      <c r="B8" s="103" t="s">
        <v>496</v>
      </c>
      <c r="C8" s="268">
        <v>515521480.4002381</v>
      </c>
      <c r="D8" s="270">
        <v>8801011.0219696593</v>
      </c>
      <c r="E8" s="270">
        <v>33596848.114909828</v>
      </c>
      <c r="F8" s="270">
        <v>160241386.25965309</v>
      </c>
      <c r="G8" s="271">
        <v>718160725.79677069</v>
      </c>
      <c r="H8" s="272">
        <v>77</v>
      </c>
      <c r="I8" s="273" t="s">
        <v>348</v>
      </c>
      <c r="J8" s="386">
        <v>9326762.6726853345</v>
      </c>
      <c r="K8" s="390">
        <v>662429568.20972192</v>
      </c>
      <c r="L8" s="112">
        <v>15990932.068331491</v>
      </c>
      <c r="M8" s="112">
        <v>86617501.530054808</v>
      </c>
      <c r="N8" s="112">
        <v>114115202.83009939</v>
      </c>
      <c r="O8" s="196">
        <f t="shared" si="0"/>
        <v>879153204.63820755</v>
      </c>
      <c r="P8" s="365">
        <v>77</v>
      </c>
      <c r="Q8" s="349" t="s">
        <v>348</v>
      </c>
      <c r="R8" s="348">
        <f t="shared" si="1"/>
        <v>11417574.086210487</v>
      </c>
      <c r="S8" s="113">
        <f t="shared" ref="S8:S11" si="2">(((O8-G8)/G8)*100)</f>
        <v>22.417332646925537</v>
      </c>
      <c r="T8" s="113">
        <f t="shared" ref="T8:T11" si="3">(((P8-H8)/H8)*100)</f>
        <v>0</v>
      </c>
      <c r="U8" s="113">
        <f t="shared" ref="U8:U11" si="4">(((R8-J8)/J8)*100)</f>
        <v>22.417332646925523</v>
      </c>
      <c r="V8" s="226"/>
      <c r="W8" s="226"/>
      <c r="X8" s="226"/>
      <c r="Y8" s="226"/>
      <c r="Z8" s="226"/>
      <c r="AA8" s="226"/>
      <c r="AB8" s="226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</row>
    <row r="9" spans="1:257" ht="21" customHeight="1">
      <c r="A9" s="106">
        <v>204</v>
      </c>
      <c r="B9" s="103" t="s">
        <v>497</v>
      </c>
      <c r="C9" s="268">
        <v>256716871.51025963</v>
      </c>
      <c r="D9" s="268">
        <v>4339537.1363331433</v>
      </c>
      <c r="E9" s="268">
        <v>16564335.568569105</v>
      </c>
      <c r="F9" s="268">
        <v>80021459.520023733</v>
      </c>
      <c r="G9" s="199">
        <v>357642203.73518562</v>
      </c>
      <c r="H9" s="269">
        <v>77</v>
      </c>
      <c r="I9" s="406" t="s">
        <v>251</v>
      </c>
      <c r="J9" s="386">
        <v>4644703.9446128001</v>
      </c>
      <c r="K9" s="390">
        <v>317528332.8478629</v>
      </c>
      <c r="L9" s="112">
        <v>7390819.5321648382</v>
      </c>
      <c r="M9" s="112">
        <v>42881478.653239302</v>
      </c>
      <c r="N9" s="112">
        <v>56862585.63624125</v>
      </c>
      <c r="O9" s="196">
        <f t="shared" si="0"/>
        <v>424663216.66950828</v>
      </c>
      <c r="P9" s="350">
        <v>77</v>
      </c>
      <c r="Q9" s="345" t="s">
        <v>251</v>
      </c>
      <c r="R9" s="348">
        <f t="shared" si="1"/>
        <v>5515106.7099936139</v>
      </c>
      <c r="S9" s="113">
        <f t="shared" si="2"/>
        <v>18.739682351344651</v>
      </c>
      <c r="T9" s="113">
        <f t="shared" si="3"/>
        <v>0</v>
      </c>
      <c r="U9" s="113">
        <f t="shared" si="4"/>
        <v>18.739682351344651</v>
      </c>
      <c r="V9" s="226"/>
      <c r="W9" s="226"/>
      <c r="X9" s="226"/>
      <c r="Y9" s="226"/>
      <c r="Z9" s="226"/>
      <c r="AA9" s="226"/>
      <c r="AB9" s="226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</row>
    <row r="10" spans="1:257" ht="21" customHeight="1">
      <c r="A10" s="106">
        <v>205</v>
      </c>
      <c r="B10" s="236" t="s">
        <v>498</v>
      </c>
      <c r="C10" s="58">
        <v>257496317.32966173</v>
      </c>
      <c r="D10" s="58">
        <v>4216440.2979981527</v>
      </c>
      <c r="E10" s="58">
        <v>16377494.88364128</v>
      </c>
      <c r="F10" s="58">
        <v>80002768.681075573</v>
      </c>
      <c r="G10" s="59">
        <v>358093021.19237673</v>
      </c>
      <c r="H10" s="282">
        <v>77</v>
      </c>
      <c r="I10" s="405" t="s">
        <v>251</v>
      </c>
      <c r="J10" s="386">
        <v>4650558.7167841131</v>
      </c>
      <c r="K10" s="390">
        <v>315850864.15838003</v>
      </c>
      <c r="L10" s="112">
        <v>7213386.1185243614</v>
      </c>
      <c r="M10" s="112">
        <v>42710022.744681232</v>
      </c>
      <c r="N10" s="112">
        <v>56835448.578033946</v>
      </c>
      <c r="O10" s="196">
        <f t="shared" si="0"/>
        <v>422609721.59961957</v>
      </c>
      <c r="P10" s="365">
        <v>77</v>
      </c>
      <c r="Q10" s="345" t="s">
        <v>348</v>
      </c>
      <c r="R10" s="348">
        <f t="shared" si="1"/>
        <v>5488437.9428522019</v>
      </c>
      <c r="S10" s="113">
        <f t="shared" si="2"/>
        <v>18.01674330106054</v>
      </c>
      <c r="T10" s="113">
        <f t="shared" si="3"/>
        <v>0</v>
      </c>
      <c r="U10" s="113">
        <f t="shared" si="4"/>
        <v>18.016743301060544</v>
      </c>
      <c r="V10" s="226"/>
      <c r="W10" s="226"/>
      <c r="X10" s="226"/>
      <c r="Y10" s="226"/>
      <c r="Z10" s="226"/>
      <c r="AA10" s="226"/>
      <c r="AB10" s="226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</row>
    <row r="11" spans="1:257" ht="21" customHeight="1">
      <c r="A11" s="106">
        <v>206</v>
      </c>
      <c r="B11" s="103" t="s">
        <v>499</v>
      </c>
      <c r="C11" s="58">
        <f>2526052365.81868-4000000</f>
        <v>2522052365.8186798</v>
      </c>
      <c r="D11" s="58">
        <v>40277409.658629626</v>
      </c>
      <c r="E11" s="58">
        <v>140718620.1220004</v>
      </c>
      <c r="F11" s="58">
        <v>634374755.08357072</v>
      </c>
      <c r="G11" s="59">
        <f>SUM(C11:F11)</f>
        <v>3337423150.6828804</v>
      </c>
      <c r="H11" s="282">
        <v>8</v>
      </c>
      <c r="I11" s="60" t="s">
        <v>265</v>
      </c>
      <c r="J11" s="386">
        <v>417677893.83535957</v>
      </c>
      <c r="K11" s="390">
        <v>2757672860.6886859</v>
      </c>
      <c r="L11" s="112">
        <v>78333217.112436831</v>
      </c>
      <c r="M11" s="112">
        <v>339082072.93136394</v>
      </c>
      <c r="N11" s="112">
        <v>444536928.06585211</v>
      </c>
      <c r="O11" s="196">
        <f t="shared" si="0"/>
        <v>3619625078.7983389</v>
      </c>
      <c r="P11" s="365">
        <v>6</v>
      </c>
      <c r="Q11" s="349" t="s">
        <v>265</v>
      </c>
      <c r="R11" s="348">
        <f t="shared" si="1"/>
        <v>603270846.46638978</v>
      </c>
      <c r="S11" s="113">
        <f t="shared" si="2"/>
        <v>8.4556831835278743</v>
      </c>
      <c r="T11" s="113">
        <f t="shared" si="3"/>
        <v>-25</v>
      </c>
      <c r="U11" s="113">
        <f t="shared" si="4"/>
        <v>44.434468610921343</v>
      </c>
      <c r="V11" s="226"/>
      <c r="W11" s="226"/>
      <c r="X11" s="226"/>
      <c r="Y11" s="226"/>
      <c r="Z11" s="226"/>
      <c r="AA11" s="226"/>
      <c r="AB11" s="226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</row>
    <row r="12" spans="1:257" ht="21" customHeight="1">
      <c r="A12" s="258"/>
      <c r="B12" s="108" t="s">
        <v>433</v>
      </c>
      <c r="C12" s="67">
        <f>SUM(C6:C11)</f>
        <v>3754384667.8400044</v>
      </c>
      <c r="D12" s="67">
        <f t="shared" ref="D12:G12" si="5">SUM(D6:D11)</f>
        <v>58267767.379999995</v>
      </c>
      <c r="E12" s="67">
        <f t="shared" si="5"/>
        <v>209208032.90999991</v>
      </c>
      <c r="F12" s="67">
        <f t="shared" si="5"/>
        <v>1000988461.4299999</v>
      </c>
      <c r="G12" s="67">
        <f t="shared" si="5"/>
        <v>5022848929.5600033</v>
      </c>
      <c r="H12" s="356"/>
      <c r="I12" s="356"/>
      <c r="J12" s="387"/>
      <c r="K12" s="391">
        <f>SUM(K6:K11)</f>
        <v>4291480895.5100002</v>
      </c>
      <c r="L12" s="67">
        <f>SUM(L6:L11)</f>
        <v>150114579.25</v>
      </c>
      <c r="M12" s="67">
        <f>SUM(M6:M11)</f>
        <v>518142129</v>
      </c>
      <c r="N12" s="67">
        <f>SUM(N6:N11)</f>
        <v>1085339143.1900003</v>
      </c>
      <c r="O12" s="196">
        <f t="shared" si="0"/>
        <v>6045076746.9500008</v>
      </c>
      <c r="P12" s="366"/>
      <c r="Q12" s="366"/>
      <c r="R12" s="367"/>
      <c r="S12" s="118"/>
      <c r="T12" s="118"/>
      <c r="U12" s="118"/>
      <c r="V12" s="226"/>
      <c r="W12" s="226"/>
      <c r="X12" s="226"/>
      <c r="Y12" s="226"/>
      <c r="Z12" s="226"/>
      <c r="AA12" s="226"/>
      <c r="AB12" s="226"/>
    </row>
    <row r="13" spans="1:257" ht="21" customHeight="1" thickBot="1">
      <c r="A13" s="54">
        <v>888</v>
      </c>
      <c r="B13" s="104" t="s">
        <v>432</v>
      </c>
      <c r="C13" s="68">
        <v>-5.4569682106375694E-11</v>
      </c>
      <c r="D13" s="68">
        <v>119466856.14</v>
      </c>
      <c r="E13" s="68">
        <v>342708502.08000004</v>
      </c>
      <c r="F13" s="68">
        <v>0</v>
      </c>
      <c r="G13" s="69">
        <f>SUM(C13:F13)</f>
        <v>462175358.22000003</v>
      </c>
      <c r="H13" s="357">
        <v>77</v>
      </c>
      <c r="I13" s="357" t="s">
        <v>251</v>
      </c>
      <c r="J13" s="388">
        <v>17137417.949610393</v>
      </c>
      <c r="K13" s="392">
        <v>0</v>
      </c>
      <c r="L13" s="359">
        <v>207323913.97000003</v>
      </c>
      <c r="M13" s="359">
        <v>7970530696.6699991</v>
      </c>
      <c r="N13" s="358">
        <v>0</v>
      </c>
      <c r="O13" s="69">
        <f>SUM(K13:N13)</f>
        <v>8177854610.6399994</v>
      </c>
      <c r="P13" s="366">
        <v>77</v>
      </c>
      <c r="Q13" s="366" t="s">
        <v>251</v>
      </c>
      <c r="R13" s="367">
        <f>O13/P13</f>
        <v>106205904.03428571</v>
      </c>
      <c r="S13" s="118"/>
      <c r="T13" s="118"/>
      <c r="U13" s="118"/>
      <c r="V13" s="226"/>
      <c r="W13" s="226"/>
      <c r="X13" s="226"/>
      <c r="Y13" s="226"/>
      <c r="Z13" s="226"/>
      <c r="AA13" s="226"/>
      <c r="AB13" s="226"/>
    </row>
    <row r="14" spans="1:257" s="12" customFormat="1" ht="21" customHeight="1" thickBot="1">
      <c r="A14" s="259"/>
      <c r="B14" s="260" t="s">
        <v>350</v>
      </c>
      <c r="C14" s="70">
        <f>C12+C13</f>
        <v>3754384667.8400044</v>
      </c>
      <c r="D14" s="70">
        <f t="shared" ref="D14:G14" si="6">D12+D13</f>
        <v>177734623.51999998</v>
      </c>
      <c r="E14" s="70">
        <f t="shared" si="6"/>
        <v>551916534.99000001</v>
      </c>
      <c r="F14" s="70">
        <f t="shared" si="6"/>
        <v>1000988461.4299999</v>
      </c>
      <c r="G14" s="70">
        <f t="shared" si="6"/>
        <v>5485024287.7800035</v>
      </c>
      <c r="H14" s="360"/>
      <c r="I14" s="360"/>
      <c r="J14" s="361"/>
      <c r="K14" s="70">
        <f>SUM(K12:K13)</f>
        <v>4291480895.5100002</v>
      </c>
      <c r="L14" s="70">
        <f t="shared" ref="L14:O14" si="7">SUM(L12:L13)</f>
        <v>357438493.22000003</v>
      </c>
      <c r="M14" s="70">
        <f t="shared" si="7"/>
        <v>8488672825.6699991</v>
      </c>
      <c r="N14" s="70">
        <f t="shared" si="7"/>
        <v>1085339143.1900003</v>
      </c>
      <c r="O14" s="70">
        <f t="shared" si="7"/>
        <v>14222931357.59</v>
      </c>
      <c r="P14" s="368"/>
      <c r="Q14" s="368"/>
      <c r="R14" s="369"/>
      <c r="S14" s="119"/>
      <c r="T14" s="119"/>
      <c r="U14" s="119"/>
    </row>
    <row r="16" spans="1:257" ht="21">
      <c r="K16" s="215"/>
      <c r="L16" s="215"/>
      <c r="M16" s="215"/>
      <c r="N16" s="215"/>
      <c r="O16" s="216"/>
    </row>
    <row r="17" spans="3:15" s="8" customFormat="1">
      <c r="C17" s="26"/>
      <c r="D17" s="26"/>
      <c r="E17" s="26"/>
      <c r="F17" s="26"/>
      <c r="G17" s="26"/>
      <c r="H17" s="26"/>
      <c r="I17" s="26"/>
      <c r="J17" s="26"/>
      <c r="K17" s="215"/>
      <c r="L17" s="215"/>
      <c r="M17" s="215"/>
      <c r="N17" s="215"/>
      <c r="O17" s="215"/>
    </row>
    <row r="18" spans="3:15" s="8" customFormat="1">
      <c r="C18" s="570"/>
      <c r="D18" s="570"/>
      <c r="E18" s="570"/>
      <c r="F18" s="570"/>
      <c r="G18" s="570"/>
      <c r="H18" s="26"/>
      <c r="I18" s="26"/>
      <c r="J18" s="26"/>
      <c r="K18" s="26"/>
      <c r="L18" s="26"/>
      <c r="M18" s="26"/>
      <c r="N18" s="26"/>
      <c r="O18" s="26"/>
    </row>
    <row r="19" spans="3:15" s="8" customFormat="1">
      <c r="C19" s="570"/>
      <c r="D19" s="570"/>
      <c r="E19" s="570"/>
      <c r="F19" s="570"/>
      <c r="G19" s="570"/>
      <c r="H19" s="26"/>
      <c r="I19" s="26"/>
      <c r="J19" s="26"/>
      <c r="K19" s="26"/>
      <c r="L19" s="26"/>
      <c r="M19" s="26"/>
      <c r="N19" s="26"/>
      <c r="O19" s="26"/>
    </row>
    <row r="20" spans="3:15" s="8" customFormat="1">
      <c r="C20" s="570"/>
      <c r="D20" s="570"/>
      <c r="E20" s="570"/>
      <c r="F20" s="570"/>
      <c r="G20" s="570"/>
      <c r="H20" s="26"/>
      <c r="I20" s="26"/>
      <c r="J20" s="26"/>
      <c r="K20" s="26"/>
      <c r="L20" s="26"/>
      <c r="M20" s="26"/>
      <c r="N20" s="26"/>
      <c r="O20" s="26"/>
    </row>
    <row r="21" spans="3:15" s="8" customFormat="1">
      <c r="C21" s="570"/>
      <c r="D21" s="570"/>
      <c r="E21" s="570"/>
      <c r="F21" s="570"/>
      <c r="G21" s="570"/>
      <c r="H21" s="26"/>
      <c r="I21" s="26"/>
      <c r="J21" s="26"/>
      <c r="K21" s="26"/>
      <c r="L21" s="26"/>
      <c r="M21" s="26"/>
      <c r="N21" s="26"/>
      <c r="O21" s="26"/>
    </row>
    <row r="22" spans="3:15" s="8" customFormat="1">
      <c r="C22" s="570"/>
      <c r="D22" s="570"/>
      <c r="E22" s="570"/>
      <c r="F22" s="570"/>
      <c r="G22" s="570"/>
      <c r="H22" s="26"/>
      <c r="I22" s="26"/>
      <c r="J22" s="26"/>
      <c r="K22" s="26"/>
      <c r="L22" s="26"/>
      <c r="M22" s="26"/>
      <c r="N22" s="26"/>
      <c r="O22" s="26"/>
    </row>
    <row r="23" spans="3:15" s="8" customFormat="1">
      <c r="C23" s="570"/>
      <c r="D23" s="570"/>
      <c r="E23" s="570"/>
      <c r="F23" s="570"/>
      <c r="G23" s="570"/>
      <c r="H23" s="26"/>
      <c r="I23" s="26"/>
      <c r="J23" s="26"/>
      <c r="K23" s="26"/>
      <c r="L23" s="26"/>
      <c r="M23" s="26"/>
      <c r="N23" s="26"/>
      <c r="O23" s="26"/>
    </row>
    <row r="24" spans="3:15" s="8" customFormat="1">
      <c r="C24" s="570"/>
      <c r="D24" s="570"/>
      <c r="E24" s="570"/>
      <c r="F24" s="570"/>
      <c r="G24" s="570"/>
      <c r="H24" s="26"/>
      <c r="I24" s="26"/>
      <c r="J24" s="26"/>
      <c r="K24" s="26"/>
      <c r="L24" s="26"/>
      <c r="M24" s="26"/>
      <c r="N24" s="26"/>
      <c r="O24" s="26"/>
    </row>
    <row r="25" spans="3:15" s="8" customFormat="1">
      <c r="C25" s="570"/>
      <c r="D25" s="570"/>
      <c r="E25" s="570"/>
      <c r="F25" s="570"/>
      <c r="G25" s="570"/>
      <c r="H25" s="26"/>
      <c r="I25" s="26"/>
      <c r="J25" s="26"/>
      <c r="K25" s="26"/>
      <c r="L25" s="26"/>
      <c r="M25" s="26"/>
      <c r="N25" s="26"/>
      <c r="O25" s="26"/>
    </row>
    <row r="26" spans="3:15" s="8" customFormat="1">
      <c r="C26" s="570"/>
      <c r="D26" s="570"/>
      <c r="E26" s="570"/>
      <c r="F26" s="570"/>
      <c r="G26" s="570"/>
      <c r="H26" s="26"/>
      <c r="I26" s="26"/>
      <c r="J26" s="26"/>
      <c r="K26" s="26"/>
      <c r="L26" s="26"/>
      <c r="M26" s="26"/>
      <c r="N26" s="26"/>
      <c r="O26" s="26"/>
    </row>
    <row r="27" spans="3:15" s="8" customFormat="1">
      <c r="C27" s="570"/>
      <c r="D27" s="570"/>
      <c r="E27" s="570"/>
      <c r="F27" s="570"/>
      <c r="G27" s="570"/>
      <c r="H27" s="26"/>
      <c r="I27" s="26"/>
      <c r="J27" s="26"/>
      <c r="K27" s="26"/>
      <c r="L27" s="26"/>
      <c r="M27" s="26"/>
      <c r="N27" s="26"/>
      <c r="O27" s="26"/>
    </row>
  </sheetData>
  <mergeCells count="7">
    <mergeCell ref="A1:U1"/>
    <mergeCell ref="A2:U2"/>
    <mergeCell ref="A4:A5"/>
    <mergeCell ref="B4:B5"/>
    <mergeCell ref="C4:J4"/>
    <mergeCell ref="K4:R4"/>
    <mergeCell ref="S4:U4"/>
  </mergeCells>
  <pageMargins left="0.15748031496062992" right="0.15748031496062992" top="0.74803149606299213" bottom="0.74803149606299213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"/>
  <sheetViews>
    <sheetView view="pageBreakPreview" zoomScale="90" zoomScaleSheetLayoutView="9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R10" sqref="R10"/>
    </sheetView>
  </sheetViews>
  <sheetFormatPr defaultColWidth="8.85546875" defaultRowHeight="18.75"/>
  <cols>
    <col min="1" max="1" width="5.28515625" style="111" customWidth="1"/>
    <col min="2" max="2" width="51.85546875" style="111" customWidth="1"/>
    <col min="3" max="3" width="14.5703125" style="170" customWidth="1"/>
    <col min="4" max="4" width="12.5703125" style="170" customWidth="1"/>
    <col min="5" max="5" width="14" style="170" customWidth="1"/>
    <col min="6" max="6" width="13.140625" style="170" customWidth="1"/>
    <col min="7" max="7" width="13.28515625" style="170" customWidth="1"/>
    <col min="8" max="8" width="7.140625" style="171" customWidth="1"/>
    <col min="9" max="9" width="7.7109375" style="171" customWidth="1"/>
    <col min="10" max="10" width="11.28515625" style="170" customWidth="1"/>
    <col min="11" max="11" width="15.42578125" style="170" customWidth="1"/>
    <col min="12" max="12" width="16.5703125" style="170" customWidth="1"/>
    <col min="13" max="13" width="14.28515625" style="170" bestFit="1" customWidth="1"/>
    <col min="14" max="14" width="15.42578125" style="170" customWidth="1"/>
    <col min="15" max="15" width="17.140625" style="170" customWidth="1"/>
    <col min="16" max="16" width="7.28515625" style="182" customWidth="1"/>
    <col min="17" max="17" width="8.42578125" style="182" customWidth="1"/>
    <col min="18" max="18" width="12.28515625" style="182" customWidth="1"/>
    <col min="19" max="19" width="10.7109375" style="170" customWidth="1"/>
    <col min="20" max="21" width="8.85546875" style="170"/>
    <col min="22" max="16384" width="8.85546875" style="111"/>
  </cols>
  <sheetData>
    <row r="1" spans="1:256" ht="30" customHeight="1">
      <c r="A1" s="818" t="s">
        <v>283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  <c r="IV1" s="164"/>
    </row>
    <row r="2" spans="1:256" ht="30" customHeight="1">
      <c r="A2" s="818" t="s">
        <v>518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</row>
    <row r="3" spans="1:256" ht="30" customHeight="1" thickBot="1">
      <c r="A3" s="165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370"/>
      <c r="Q3" s="370"/>
      <c r="R3" s="370"/>
      <c r="S3" s="166"/>
      <c r="T3" s="166"/>
      <c r="U3" s="166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9.5" thickBot="1">
      <c r="A4" s="813" t="s">
        <v>10</v>
      </c>
      <c r="B4" s="819" t="s">
        <v>284</v>
      </c>
      <c r="C4" s="821" t="s">
        <v>441</v>
      </c>
      <c r="D4" s="821"/>
      <c r="E4" s="821"/>
      <c r="F4" s="821"/>
      <c r="G4" s="821"/>
      <c r="H4" s="821"/>
      <c r="I4" s="821"/>
      <c r="J4" s="821"/>
      <c r="K4" s="821" t="s">
        <v>519</v>
      </c>
      <c r="L4" s="821"/>
      <c r="M4" s="821"/>
      <c r="N4" s="821"/>
      <c r="O4" s="821"/>
      <c r="P4" s="821"/>
      <c r="Q4" s="821"/>
      <c r="R4" s="821"/>
      <c r="S4" s="822" t="s">
        <v>270</v>
      </c>
      <c r="T4" s="821"/>
      <c r="U4" s="82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59.25" customHeight="1" thickBot="1">
      <c r="A5" s="814"/>
      <c r="B5" s="820"/>
      <c r="C5" s="30" t="s">
        <v>11</v>
      </c>
      <c r="D5" s="31" t="s">
        <v>12</v>
      </c>
      <c r="E5" s="31" t="s">
        <v>0</v>
      </c>
      <c r="F5" s="31" t="s">
        <v>244</v>
      </c>
      <c r="G5" s="32" t="s">
        <v>245</v>
      </c>
      <c r="H5" s="33" t="s">
        <v>246</v>
      </c>
      <c r="I5" s="32" t="s">
        <v>247</v>
      </c>
      <c r="J5" s="34" t="s">
        <v>248</v>
      </c>
      <c r="K5" s="30" t="s">
        <v>11</v>
      </c>
      <c r="L5" s="31" t="s">
        <v>12</v>
      </c>
      <c r="M5" s="31" t="s">
        <v>0</v>
      </c>
      <c r="N5" s="31" t="s">
        <v>244</v>
      </c>
      <c r="O5" s="32" t="s">
        <v>245</v>
      </c>
      <c r="P5" s="362" t="s">
        <v>246</v>
      </c>
      <c r="Q5" s="363" t="s">
        <v>247</v>
      </c>
      <c r="R5" s="364" t="s">
        <v>248</v>
      </c>
      <c r="S5" s="71" t="s">
        <v>277</v>
      </c>
      <c r="T5" s="72" t="s">
        <v>281</v>
      </c>
      <c r="U5" s="73" t="s">
        <v>282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8" customFormat="1" ht="21" customHeight="1">
      <c r="A6" s="105">
        <v>401</v>
      </c>
      <c r="B6" s="102" t="s">
        <v>494</v>
      </c>
      <c r="C6" s="55">
        <v>198549062.781165</v>
      </c>
      <c r="D6" s="55">
        <v>633369.26506941346</v>
      </c>
      <c r="E6" s="55">
        <v>1950734.2208793052</v>
      </c>
      <c r="F6" s="55">
        <v>46348091.885676801</v>
      </c>
      <c r="G6" s="56">
        <v>247481258.15279055</v>
      </c>
      <c r="H6" s="200">
        <v>118</v>
      </c>
      <c r="I6" s="57" t="s">
        <v>278</v>
      </c>
      <c r="J6" s="385">
        <v>2097298.7979050046</v>
      </c>
      <c r="K6" s="389">
        <v>234095611.22943112</v>
      </c>
      <c r="L6" s="112">
        <v>41155564.156862617</v>
      </c>
      <c r="M6" s="112">
        <v>6824610.3114513382</v>
      </c>
      <c r="N6" s="112">
        <v>412976453.03921843</v>
      </c>
      <c r="O6" s="196">
        <f>SUM(K6:N6)</f>
        <v>695052238.73696351</v>
      </c>
      <c r="P6" s="346">
        <v>115</v>
      </c>
      <c r="Q6" s="347" t="s">
        <v>278</v>
      </c>
      <c r="R6" s="348">
        <f>O6/P6</f>
        <v>6043932.5107562048</v>
      </c>
      <c r="S6" s="113">
        <f>(((O6-G6)/G6)*100)</f>
        <v>180.8504546666926</v>
      </c>
      <c r="T6" s="113">
        <f>(((P6-H6)/H6)*100)</f>
        <v>-2.5423728813559325</v>
      </c>
      <c r="U6" s="113">
        <f>(((R6-J6)/J6)*100)</f>
        <v>188.17698826669331</v>
      </c>
      <c r="V6" s="226"/>
      <c r="W6" s="226"/>
      <c r="X6" s="226"/>
      <c r="Y6" s="226"/>
      <c r="Z6" s="226"/>
      <c r="AA6" s="226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8" customFormat="1" ht="21" customHeight="1">
      <c r="A7" s="106">
        <v>402</v>
      </c>
      <c r="B7" s="103" t="s">
        <v>495</v>
      </c>
      <c r="C7" s="58">
        <f>48570+4000000</f>
        <v>4048570</v>
      </c>
      <c r="D7" s="58">
        <v>0</v>
      </c>
      <c r="E7" s="58">
        <v>0</v>
      </c>
      <c r="F7" s="58">
        <v>0</v>
      </c>
      <c r="G7" s="59">
        <f>SUM(C7:F7)</f>
        <v>4048570</v>
      </c>
      <c r="H7" s="282">
        <v>77</v>
      </c>
      <c r="I7" s="60" t="s">
        <v>348</v>
      </c>
      <c r="J7" s="386">
        <f>G7/H7</f>
        <v>52578.831168831166</v>
      </c>
      <c r="K7" s="390">
        <v>3903658.3759182608</v>
      </c>
      <c r="L7" s="112">
        <v>30660.261679858257</v>
      </c>
      <c r="M7" s="112">
        <v>26442.829209327909</v>
      </c>
      <c r="N7" s="112">
        <v>12525.040555107838</v>
      </c>
      <c r="O7" s="196">
        <f t="shared" ref="O7:O11" si="0">SUM(K7:N7)</f>
        <v>3973286.5073625548</v>
      </c>
      <c r="P7" s="365">
        <v>77</v>
      </c>
      <c r="Q7" s="349" t="s">
        <v>251</v>
      </c>
      <c r="R7" s="348">
        <f t="shared" ref="R7:R11" si="1">O7/P7</f>
        <v>51601.123472240972</v>
      </c>
      <c r="S7" s="113">
        <f>(((O7-G7)/G7)*100)</f>
        <v>-1.8595082371663383</v>
      </c>
      <c r="T7" s="113">
        <f>(((P7-H7)/H7)*100)</f>
        <v>0</v>
      </c>
      <c r="U7" s="113">
        <f>(((R7-J7)/J7)*100)</f>
        <v>-1.8595082371663316</v>
      </c>
      <c r="V7" s="226"/>
      <c r="W7" s="226"/>
      <c r="X7" s="226"/>
      <c r="Y7" s="226"/>
      <c r="Z7" s="226"/>
      <c r="AA7" s="226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8" customFormat="1" ht="21" customHeight="1">
      <c r="A8" s="106">
        <v>403</v>
      </c>
      <c r="B8" s="103" t="s">
        <v>496</v>
      </c>
      <c r="C8" s="268">
        <v>515521480.4002381</v>
      </c>
      <c r="D8" s="270">
        <v>8801011.0219696593</v>
      </c>
      <c r="E8" s="270">
        <v>33596848.114909828</v>
      </c>
      <c r="F8" s="270">
        <v>160241386.25965309</v>
      </c>
      <c r="G8" s="271">
        <v>718160725.79677069</v>
      </c>
      <c r="H8" s="272">
        <v>77</v>
      </c>
      <c r="I8" s="273" t="s">
        <v>348</v>
      </c>
      <c r="J8" s="386">
        <v>9326762.6726853345</v>
      </c>
      <c r="K8" s="390">
        <v>662429568.20972192</v>
      </c>
      <c r="L8" s="112">
        <v>15990932.068331491</v>
      </c>
      <c r="M8" s="112">
        <v>86617501.530054808</v>
      </c>
      <c r="N8" s="112">
        <v>114115202.83009939</v>
      </c>
      <c r="O8" s="196">
        <f t="shared" si="0"/>
        <v>879153204.63820755</v>
      </c>
      <c r="P8" s="365">
        <v>77</v>
      </c>
      <c r="Q8" s="349" t="s">
        <v>348</v>
      </c>
      <c r="R8" s="348">
        <f t="shared" si="1"/>
        <v>11417574.086210487</v>
      </c>
      <c r="S8" s="113">
        <f t="shared" ref="S8:T11" si="2">(((O8-G8)/G8)*100)</f>
        <v>22.417332646925537</v>
      </c>
      <c r="T8" s="113">
        <f t="shared" si="2"/>
        <v>0</v>
      </c>
      <c r="U8" s="113">
        <f t="shared" ref="U8:U11" si="3">(((R8-J8)/J8)*100)</f>
        <v>22.417332646925523</v>
      </c>
      <c r="V8" s="226"/>
      <c r="W8" s="226"/>
      <c r="X8" s="226"/>
      <c r="Y8" s="226"/>
      <c r="Z8" s="226"/>
      <c r="AA8" s="22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8" customFormat="1" ht="21" customHeight="1">
      <c r="A9" s="106">
        <v>404</v>
      </c>
      <c r="B9" s="103" t="s">
        <v>497</v>
      </c>
      <c r="C9" s="268">
        <v>256716871.51025963</v>
      </c>
      <c r="D9" s="268">
        <v>4339537.1363331433</v>
      </c>
      <c r="E9" s="268">
        <v>16564335.568569105</v>
      </c>
      <c r="F9" s="268">
        <v>80021459.520023733</v>
      </c>
      <c r="G9" s="199">
        <v>357642203.73518562</v>
      </c>
      <c r="H9" s="269">
        <v>77</v>
      </c>
      <c r="I9" s="406" t="s">
        <v>251</v>
      </c>
      <c r="J9" s="386">
        <v>4644703.9446128001</v>
      </c>
      <c r="K9" s="390">
        <v>317528332.8478629</v>
      </c>
      <c r="L9" s="112">
        <v>7390819.5321648382</v>
      </c>
      <c r="M9" s="112">
        <v>42881478.653239302</v>
      </c>
      <c r="N9" s="112">
        <v>56862585.63624125</v>
      </c>
      <c r="O9" s="196">
        <f t="shared" si="0"/>
        <v>424663216.66950828</v>
      </c>
      <c r="P9" s="350">
        <v>77</v>
      </c>
      <c r="Q9" s="345" t="s">
        <v>251</v>
      </c>
      <c r="R9" s="348">
        <f t="shared" si="1"/>
        <v>5515106.7099936139</v>
      </c>
      <c r="S9" s="113">
        <f t="shared" si="2"/>
        <v>18.739682351344651</v>
      </c>
      <c r="T9" s="113">
        <f t="shared" si="2"/>
        <v>0</v>
      </c>
      <c r="U9" s="113">
        <f t="shared" si="3"/>
        <v>18.739682351344651</v>
      </c>
      <c r="V9" s="226"/>
      <c r="W9" s="226"/>
      <c r="X9" s="226"/>
      <c r="Y9" s="226"/>
      <c r="Z9" s="226"/>
      <c r="AA9" s="226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21" customHeight="1">
      <c r="A10" s="404">
        <v>405</v>
      </c>
      <c r="B10" s="236" t="s">
        <v>498</v>
      </c>
      <c r="C10" s="58">
        <v>257496317.32966173</v>
      </c>
      <c r="D10" s="58">
        <v>4216440.2979981527</v>
      </c>
      <c r="E10" s="58">
        <v>16377494.88364128</v>
      </c>
      <c r="F10" s="58">
        <v>80002768.681075573</v>
      </c>
      <c r="G10" s="59">
        <v>358093021.19237673</v>
      </c>
      <c r="H10" s="282">
        <v>77</v>
      </c>
      <c r="I10" s="405" t="s">
        <v>251</v>
      </c>
      <c r="J10" s="386">
        <v>4650558.7167841131</v>
      </c>
      <c r="K10" s="390">
        <v>315850864.15838003</v>
      </c>
      <c r="L10" s="112">
        <v>7213386.1185243614</v>
      </c>
      <c r="M10" s="112">
        <v>42710022.744681232</v>
      </c>
      <c r="N10" s="112">
        <v>56835448.578033946</v>
      </c>
      <c r="O10" s="196">
        <f t="shared" si="0"/>
        <v>422609721.59961957</v>
      </c>
      <c r="P10" s="365">
        <v>77</v>
      </c>
      <c r="Q10" s="345" t="s">
        <v>348</v>
      </c>
      <c r="R10" s="348">
        <f t="shared" si="1"/>
        <v>5488437.9428522019</v>
      </c>
      <c r="S10" s="113">
        <f t="shared" si="2"/>
        <v>18.01674330106054</v>
      </c>
      <c r="T10" s="113">
        <f t="shared" si="2"/>
        <v>0</v>
      </c>
      <c r="U10" s="113">
        <f t="shared" si="3"/>
        <v>18.016743301060544</v>
      </c>
      <c r="V10" s="226"/>
      <c r="W10" s="226"/>
      <c r="X10" s="226"/>
      <c r="Y10" s="226"/>
      <c r="Z10" s="226"/>
      <c r="AA10" s="226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8" customFormat="1" ht="21" customHeight="1">
      <c r="A11" s="106">
        <v>406</v>
      </c>
      <c r="B11" s="103" t="s">
        <v>499</v>
      </c>
      <c r="C11" s="58">
        <f>2526052365.81868-4000000</f>
        <v>2522052365.8186798</v>
      </c>
      <c r="D11" s="58">
        <v>40277409.658629626</v>
      </c>
      <c r="E11" s="58">
        <v>140718620.1220004</v>
      </c>
      <c r="F11" s="58">
        <v>634374755.08357072</v>
      </c>
      <c r="G11" s="59">
        <f>SUM(C11:F11)</f>
        <v>3337423150.6828804</v>
      </c>
      <c r="H11" s="282">
        <v>8</v>
      </c>
      <c r="I11" s="60" t="s">
        <v>265</v>
      </c>
      <c r="J11" s="386">
        <v>417677893.83535957</v>
      </c>
      <c r="K11" s="390">
        <v>2757672860.6886859</v>
      </c>
      <c r="L11" s="112">
        <v>78333217.112436831</v>
      </c>
      <c r="M11" s="112">
        <v>339082072.93136394</v>
      </c>
      <c r="N11" s="112">
        <v>444536928.06585211</v>
      </c>
      <c r="O11" s="196">
        <f t="shared" si="0"/>
        <v>3619625078.7983389</v>
      </c>
      <c r="P11" s="365">
        <v>6</v>
      </c>
      <c r="Q11" s="349" t="s">
        <v>265</v>
      </c>
      <c r="R11" s="348">
        <f t="shared" si="1"/>
        <v>603270846.46638978</v>
      </c>
      <c r="S11" s="113">
        <f t="shared" si="2"/>
        <v>8.4556831835278743</v>
      </c>
      <c r="T11" s="113">
        <f t="shared" si="2"/>
        <v>-25</v>
      </c>
      <c r="U11" s="113">
        <f t="shared" si="3"/>
        <v>44.434468610921343</v>
      </c>
      <c r="V11" s="226"/>
      <c r="W11" s="226"/>
      <c r="X11" s="226"/>
      <c r="Y11" s="226"/>
      <c r="Z11" s="226"/>
      <c r="AA11" s="226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8" customFormat="1" ht="21" customHeight="1">
      <c r="A12" s="258"/>
      <c r="B12" s="108" t="s">
        <v>433</v>
      </c>
      <c r="C12" s="67">
        <v>3754384667.8400006</v>
      </c>
      <c r="D12" s="67">
        <v>58267767.379999995</v>
      </c>
      <c r="E12" s="67">
        <v>209208032.90999991</v>
      </c>
      <c r="F12" s="67">
        <v>1000988461.4299999</v>
      </c>
      <c r="G12" s="67">
        <v>5022848929.5599995</v>
      </c>
      <c r="H12" s="28"/>
      <c r="I12" s="28"/>
      <c r="J12" s="36"/>
      <c r="K12" s="67">
        <v>4291480895.5100002</v>
      </c>
      <c r="L12" s="67">
        <v>150114579.25</v>
      </c>
      <c r="M12" s="67">
        <v>518142128.99999952</v>
      </c>
      <c r="N12" s="67">
        <v>1085339143.1900003</v>
      </c>
      <c r="O12" s="67">
        <v>6045076746.9500008</v>
      </c>
      <c r="P12" s="393"/>
      <c r="Q12" s="394"/>
      <c r="R12" s="397"/>
      <c r="S12" s="118"/>
      <c r="T12" s="118"/>
      <c r="U12" s="118"/>
      <c r="V12" s="226"/>
      <c r="W12" s="226"/>
      <c r="X12" s="226"/>
      <c r="Y12" s="226"/>
      <c r="Z12" s="226"/>
      <c r="AA12" s="226"/>
    </row>
    <row r="13" spans="1:256" s="8" customFormat="1" ht="21" customHeight="1" thickBot="1">
      <c r="A13" s="54">
        <v>888</v>
      </c>
      <c r="B13" s="104" t="s">
        <v>432</v>
      </c>
      <c r="C13" s="68">
        <v>-5.4569682106375694E-11</v>
      </c>
      <c r="D13" s="68">
        <v>119466856.14</v>
      </c>
      <c r="E13" s="68">
        <v>342708502.08000004</v>
      </c>
      <c r="F13" s="68">
        <v>0</v>
      </c>
      <c r="G13" s="69">
        <v>462175358.22000003</v>
      </c>
      <c r="H13" s="395">
        <v>77</v>
      </c>
      <c r="I13" s="395" t="s">
        <v>251</v>
      </c>
      <c r="J13" s="396">
        <v>17137417.949610393</v>
      </c>
      <c r="K13" s="87">
        <v>0</v>
      </c>
      <c r="L13" s="237">
        <v>207323913.97000003</v>
      </c>
      <c r="M13" s="237">
        <v>7970530696.6699991</v>
      </c>
      <c r="N13" s="87">
        <v>0</v>
      </c>
      <c r="O13" s="69">
        <v>8177854610.6399994</v>
      </c>
      <c r="P13" s="398">
        <v>77</v>
      </c>
      <c r="Q13" s="399" t="s">
        <v>251</v>
      </c>
      <c r="R13" s="400">
        <v>106205904.03428571</v>
      </c>
      <c r="S13" s="118"/>
      <c r="T13" s="118"/>
      <c r="U13" s="118"/>
      <c r="V13" s="226"/>
      <c r="W13" s="226"/>
      <c r="X13" s="226"/>
      <c r="Y13" s="226"/>
      <c r="Z13" s="226"/>
      <c r="AA13" s="226"/>
    </row>
    <row r="14" spans="1:256" s="12" customFormat="1" ht="21" customHeight="1" thickBot="1">
      <c r="A14" s="259"/>
      <c r="B14" s="260" t="s">
        <v>350</v>
      </c>
      <c r="C14" s="70">
        <v>3754384667.8400006</v>
      </c>
      <c r="D14" s="70">
        <v>177734623.51999998</v>
      </c>
      <c r="E14" s="70">
        <v>551916534.99000001</v>
      </c>
      <c r="F14" s="70">
        <v>1000988461.4299999</v>
      </c>
      <c r="G14" s="70">
        <v>5485024287.7799997</v>
      </c>
      <c r="H14" s="29"/>
      <c r="I14" s="29"/>
      <c r="J14" s="37"/>
      <c r="K14" s="70">
        <v>4291480895.5100002</v>
      </c>
      <c r="L14" s="70">
        <v>357438493.22000003</v>
      </c>
      <c r="M14" s="70">
        <v>8488672825.6699982</v>
      </c>
      <c r="N14" s="70">
        <v>1085339143.1900003</v>
      </c>
      <c r="O14" s="70">
        <v>14222931357.59</v>
      </c>
      <c r="P14" s="368"/>
      <c r="Q14" s="368"/>
      <c r="R14" s="369"/>
      <c r="S14" s="119"/>
      <c r="T14" s="119"/>
      <c r="U14" s="119"/>
    </row>
    <row r="15" spans="1:256">
      <c r="A15" s="167"/>
      <c r="B15" s="167"/>
      <c r="C15" s="168"/>
      <c r="D15" s="168"/>
      <c r="E15" s="168"/>
      <c r="F15" s="168"/>
      <c r="G15" s="168"/>
      <c r="H15" s="169"/>
      <c r="I15" s="169"/>
      <c r="J15" s="168"/>
      <c r="K15" s="168"/>
      <c r="L15" s="168"/>
      <c r="M15" s="168"/>
      <c r="N15" s="168"/>
      <c r="O15" s="168"/>
      <c r="P15" s="371"/>
      <c r="Q15" s="371"/>
      <c r="R15" s="371"/>
      <c r="S15" s="168"/>
      <c r="T15" s="168"/>
      <c r="U15" s="168"/>
    </row>
    <row r="16" spans="1:256">
      <c r="K16" s="217"/>
      <c r="L16" s="217"/>
      <c r="M16" s="217"/>
      <c r="N16" s="217"/>
      <c r="O16" s="218"/>
    </row>
    <row r="17" spans="11:15">
      <c r="K17" s="217"/>
      <c r="L17" s="217"/>
      <c r="M17" s="217"/>
      <c r="N17" s="217"/>
      <c r="O17" s="217"/>
    </row>
  </sheetData>
  <mergeCells count="7">
    <mergeCell ref="A1:U1"/>
    <mergeCell ref="A2:U2"/>
    <mergeCell ref="A4:A5"/>
    <mergeCell ref="B4:B5"/>
    <mergeCell ref="C4:J4"/>
    <mergeCell ref="K4:R4"/>
    <mergeCell ref="S4:U4"/>
  </mergeCells>
  <pageMargins left="0.15748031496062992" right="0.1574803149606299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Q116"/>
  <sheetViews>
    <sheetView view="pageBreakPreview" zoomScale="70" zoomScaleSheetLayoutView="70" workbookViewId="0">
      <pane xSplit="2" ySplit="7" topLeftCell="Q110" activePane="bottomRight" state="frozen"/>
      <selection pane="topRight" activeCell="C1" sqref="C1"/>
      <selection pane="bottomLeft" activeCell="A8" sqref="A8"/>
      <selection pane="bottomRight" activeCell="K29" sqref="K29"/>
    </sheetView>
  </sheetViews>
  <sheetFormatPr defaultColWidth="8.85546875" defaultRowHeight="18.75"/>
  <cols>
    <col min="1" max="1" width="7" style="144" customWidth="1"/>
    <col min="2" max="2" width="20.85546875" style="145" customWidth="1"/>
    <col min="3" max="3" width="15" style="146" customWidth="1"/>
    <col min="4" max="5" width="13.5703125" style="146" customWidth="1"/>
    <col min="6" max="6" width="12.7109375" style="25" customWidth="1"/>
    <col min="7" max="7" width="13" style="146" customWidth="1"/>
    <col min="8" max="8" width="15.5703125" style="25" customWidth="1"/>
    <col min="9" max="9" width="12.42578125" style="25" customWidth="1"/>
    <col min="10" max="10" width="12.28515625" style="25" customWidth="1"/>
    <col min="11" max="11" width="12.85546875" style="25" customWidth="1"/>
    <col min="12" max="12" width="12.7109375" style="25" customWidth="1"/>
    <col min="13" max="13" width="15.42578125" style="25" customWidth="1"/>
    <col min="14" max="14" width="17.140625" style="25" customWidth="1"/>
    <col min="15" max="15" width="15.42578125" style="155" customWidth="1"/>
    <col min="16" max="16" width="14.85546875" style="155" customWidth="1"/>
    <col min="17" max="17" width="15.42578125" style="155" customWidth="1"/>
    <col min="18" max="18" width="13.5703125" style="155" customWidth="1"/>
    <col min="19" max="19" width="13" style="155" customWidth="1"/>
    <col min="20" max="20" width="15.85546875" style="155" customWidth="1"/>
    <col min="21" max="21" width="13.140625" style="25" customWidth="1"/>
    <col min="22" max="22" width="11.140625" style="25" customWidth="1"/>
    <col min="23" max="23" width="11.5703125" style="146" customWidth="1"/>
    <col min="24" max="24" width="14.28515625" style="153" customWidth="1"/>
    <col min="25" max="25" width="13.85546875" style="153" customWidth="1"/>
    <col min="26" max="26" width="14.85546875" style="153" customWidth="1"/>
    <col min="27" max="27" width="17.7109375" style="146" customWidth="1"/>
    <col min="28" max="28" width="16.7109375" style="152" customWidth="1"/>
    <col min="29" max="29" width="8.42578125" style="24" customWidth="1"/>
    <col min="30" max="30" width="8.28515625" style="24" customWidth="1"/>
    <col min="31" max="31" width="9.5703125" style="24" customWidth="1"/>
    <col min="32" max="32" width="10.28515625" style="25" customWidth="1"/>
    <col min="33" max="16384" width="8.85546875" style="25"/>
  </cols>
  <sheetData>
    <row r="1" spans="1:251" ht="30.75" customHeight="1">
      <c r="A1" s="847" t="s">
        <v>285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</row>
    <row r="2" spans="1:251" ht="30.75" customHeight="1">
      <c r="A2" s="818" t="s">
        <v>518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</row>
    <row r="3" spans="1:251" ht="30.75" customHeight="1" thickBot="1">
      <c r="A3" s="201"/>
      <c r="B3" s="130"/>
      <c r="C3" s="130"/>
      <c r="D3" s="130"/>
      <c r="E3" s="130"/>
      <c r="F3" s="201"/>
      <c r="G3" s="130"/>
      <c r="H3" s="201"/>
      <c r="I3" s="201"/>
      <c r="J3" s="201"/>
      <c r="K3" s="201"/>
      <c r="L3" s="201"/>
      <c r="M3" s="201"/>
      <c r="N3" s="201"/>
      <c r="O3" s="131"/>
      <c r="P3" s="131"/>
      <c r="Q3" s="131"/>
      <c r="R3" s="131"/>
      <c r="S3" s="131"/>
      <c r="T3" s="131"/>
      <c r="U3" s="129"/>
      <c r="V3" s="129"/>
      <c r="W3" s="132"/>
      <c r="X3" s="133"/>
      <c r="Y3" s="133"/>
      <c r="Z3" s="133"/>
      <c r="AA3" s="840" t="s">
        <v>480</v>
      </c>
      <c r="AB3" s="840"/>
      <c r="AC3" s="840"/>
      <c r="AD3" s="840"/>
      <c r="AE3" s="840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spans="1:251" ht="20.45" customHeight="1">
      <c r="A4" s="848" t="s">
        <v>47</v>
      </c>
      <c r="B4" s="851" t="s">
        <v>48</v>
      </c>
      <c r="C4" s="842" t="s">
        <v>479</v>
      </c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2" t="s">
        <v>543</v>
      </c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54"/>
      <c r="AB4" s="855" t="s">
        <v>245</v>
      </c>
      <c r="AC4" s="860" t="s">
        <v>286</v>
      </c>
      <c r="AD4" s="860" t="s">
        <v>287</v>
      </c>
      <c r="AE4" s="860" t="s">
        <v>288</v>
      </c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ht="20.45" customHeight="1">
      <c r="A5" s="849"/>
      <c r="B5" s="852"/>
      <c r="C5" s="858" t="s">
        <v>289</v>
      </c>
      <c r="D5" s="841"/>
      <c r="E5" s="841"/>
      <c r="F5" s="841" t="s">
        <v>291</v>
      </c>
      <c r="G5" s="841"/>
      <c r="H5" s="841"/>
      <c r="I5" s="841"/>
      <c r="J5" s="841"/>
      <c r="K5" s="841"/>
      <c r="L5" s="841"/>
      <c r="M5" s="841"/>
      <c r="N5" s="841"/>
      <c r="O5" s="859" t="s">
        <v>289</v>
      </c>
      <c r="P5" s="844"/>
      <c r="Q5" s="844"/>
      <c r="R5" s="844" t="s">
        <v>291</v>
      </c>
      <c r="S5" s="844"/>
      <c r="T5" s="844"/>
      <c r="U5" s="844"/>
      <c r="V5" s="845"/>
      <c r="W5" s="844"/>
      <c r="X5" s="844"/>
      <c r="Y5" s="845"/>
      <c r="Z5" s="844"/>
      <c r="AA5" s="846"/>
      <c r="AB5" s="856"/>
      <c r="AC5" s="861"/>
      <c r="AD5" s="861"/>
      <c r="AE5" s="861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</row>
    <row r="6" spans="1:251" ht="73.5" customHeight="1">
      <c r="A6" s="850"/>
      <c r="B6" s="853"/>
      <c r="C6" s="472" t="s">
        <v>13</v>
      </c>
      <c r="D6" s="473" t="s">
        <v>52</v>
      </c>
      <c r="E6" s="275" t="s">
        <v>290</v>
      </c>
      <c r="F6" s="473" t="s">
        <v>14</v>
      </c>
      <c r="G6" s="472" t="s">
        <v>15</v>
      </c>
      <c r="H6" s="473" t="s">
        <v>450</v>
      </c>
      <c r="I6" s="134" t="s">
        <v>18</v>
      </c>
      <c r="J6" s="134" t="s">
        <v>451</v>
      </c>
      <c r="K6" s="473" t="s">
        <v>19</v>
      </c>
      <c r="L6" s="473" t="s">
        <v>20</v>
      </c>
      <c r="M6" s="274" t="s">
        <v>292</v>
      </c>
      <c r="N6" s="263" t="s">
        <v>245</v>
      </c>
      <c r="O6" s="261" t="s">
        <v>13</v>
      </c>
      <c r="P6" s="262" t="s">
        <v>52</v>
      </c>
      <c r="Q6" s="275" t="s">
        <v>290</v>
      </c>
      <c r="R6" s="262" t="s">
        <v>14</v>
      </c>
      <c r="S6" s="261" t="s">
        <v>15</v>
      </c>
      <c r="T6" s="262" t="s">
        <v>450</v>
      </c>
      <c r="U6" s="134" t="s">
        <v>18</v>
      </c>
      <c r="V6" s="134" t="s">
        <v>488</v>
      </c>
      <c r="W6" s="134" t="s">
        <v>451</v>
      </c>
      <c r="X6" s="262" t="s">
        <v>19</v>
      </c>
      <c r="Y6" s="473" t="s">
        <v>492</v>
      </c>
      <c r="Z6" s="262" t="s">
        <v>20</v>
      </c>
      <c r="AA6" s="274" t="s">
        <v>292</v>
      </c>
      <c r="AB6" s="857"/>
      <c r="AC6" s="862"/>
      <c r="AD6" s="862"/>
      <c r="AE6" s="86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</row>
    <row r="7" spans="1:251" ht="21" customHeight="1">
      <c r="A7" s="835" t="s">
        <v>55</v>
      </c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7"/>
      <c r="Q7" s="837"/>
      <c r="R7" s="837"/>
      <c r="S7" s="837"/>
      <c r="T7" s="836"/>
      <c r="U7" s="836"/>
      <c r="V7" s="838"/>
      <c r="W7" s="836"/>
      <c r="X7" s="836"/>
      <c r="Y7" s="838"/>
      <c r="Z7" s="836"/>
      <c r="AA7" s="836"/>
      <c r="AB7" s="836"/>
      <c r="AC7" s="836"/>
      <c r="AD7" s="836"/>
      <c r="AE7" s="839"/>
    </row>
    <row r="8" spans="1:251" ht="20.45" customHeight="1">
      <c r="A8" s="135" t="s">
        <v>56</v>
      </c>
      <c r="B8" s="136" t="s">
        <v>57</v>
      </c>
      <c r="C8" s="185">
        <v>38034464.539999999</v>
      </c>
      <c r="D8" s="185">
        <v>412829.1</v>
      </c>
      <c r="E8" s="138">
        <v>38447293.640000001</v>
      </c>
      <c r="F8" s="185">
        <v>3986210</v>
      </c>
      <c r="G8" s="185">
        <v>1932068.4800000002</v>
      </c>
      <c r="H8" s="185">
        <v>14477605.18</v>
      </c>
      <c r="I8" s="114"/>
      <c r="J8" s="185"/>
      <c r="K8" s="114"/>
      <c r="L8" s="114"/>
      <c r="M8" s="140">
        <v>20395883.66</v>
      </c>
      <c r="N8" s="140">
        <f>E8+M8</f>
        <v>58843177.299999997</v>
      </c>
      <c r="O8" s="185">
        <v>36707184.159999989</v>
      </c>
      <c r="P8" s="185">
        <v>604921.66999999969</v>
      </c>
      <c r="Q8" s="251">
        <f>SUM(O8:P8)</f>
        <v>37312105.829999991</v>
      </c>
      <c r="R8" s="185">
        <v>2040373.25</v>
      </c>
      <c r="S8" s="185">
        <v>2017818.8000000003</v>
      </c>
      <c r="T8" s="185">
        <v>18598545.950000003</v>
      </c>
      <c r="U8" s="9"/>
      <c r="V8" s="9"/>
      <c r="W8" s="9"/>
      <c r="X8" s="424"/>
      <c r="Y8" s="424"/>
      <c r="Z8" s="424"/>
      <c r="AA8" s="571">
        <f>SUM(R8:Z8)</f>
        <v>22656738.000000004</v>
      </c>
      <c r="AB8" s="140">
        <f>Q8+AA8</f>
        <v>59968843.829999998</v>
      </c>
      <c r="AC8" s="115">
        <f>(((Q8-E8)/E8)*100)</f>
        <v>-2.9525818400361401</v>
      </c>
      <c r="AD8" s="115">
        <f>(((AA8-M8)/M8)*100)</f>
        <v>11.08485603118999</v>
      </c>
      <c r="AE8" s="115">
        <f>(((AB8-N8)/N8)*100)</f>
        <v>1.9129941339860335</v>
      </c>
      <c r="AF8" s="226"/>
    </row>
    <row r="9" spans="1:251" ht="20.45" customHeight="1">
      <c r="A9" s="135" t="s">
        <v>58</v>
      </c>
      <c r="B9" s="136" t="s">
        <v>59</v>
      </c>
      <c r="C9" s="185">
        <v>18439726.999999993</v>
      </c>
      <c r="D9" s="185">
        <v>167083.48000000004</v>
      </c>
      <c r="E9" s="138">
        <v>18606810.479999993</v>
      </c>
      <c r="F9" s="185">
        <v>7838036.0499999998</v>
      </c>
      <c r="G9" s="185">
        <v>2814294.46</v>
      </c>
      <c r="H9" s="185">
        <v>24247245.900000002</v>
      </c>
      <c r="I9" s="425"/>
      <c r="J9" s="425"/>
      <c r="K9" s="425"/>
      <c r="L9" s="425">
        <v>35000</v>
      </c>
      <c r="M9" s="140">
        <v>34934576.410000004</v>
      </c>
      <c r="N9" s="140">
        <f t="shared" ref="N9:N72" si="0">E9+M9</f>
        <v>53541386.890000001</v>
      </c>
      <c r="O9" s="185">
        <v>19018309.559999995</v>
      </c>
      <c r="P9" s="185">
        <v>175514.72000000003</v>
      </c>
      <c r="Q9" s="251">
        <f t="shared" ref="Q9:Q72" si="1">SUM(O9:P9)</f>
        <v>19193824.279999994</v>
      </c>
      <c r="R9" s="185">
        <v>8476058</v>
      </c>
      <c r="S9" s="185">
        <v>1964865.76</v>
      </c>
      <c r="T9" s="185">
        <v>49663760.599999994</v>
      </c>
      <c r="U9" s="9"/>
      <c r="V9" s="9"/>
      <c r="W9" s="9"/>
      <c r="X9" s="424"/>
      <c r="Y9" s="424"/>
      <c r="Z9" s="112"/>
      <c r="AA9" s="571">
        <f t="shared" ref="AA9:AA72" si="2">SUM(R9:Z9)</f>
        <v>60104684.359999992</v>
      </c>
      <c r="AB9" s="140">
        <f>Q9+AA9</f>
        <v>79298508.639999986</v>
      </c>
      <c r="AC9" s="115">
        <f t="shared" ref="AC9:AC72" si="3">(((Q9-E9)/E9)*100)</f>
        <v>3.1548330146693742</v>
      </c>
      <c r="AD9" s="115">
        <f t="shared" ref="AD9:AD72" si="4">(((AA9-M9)/M9)*100)</f>
        <v>72.049271915016149</v>
      </c>
      <c r="AE9" s="115">
        <f t="shared" ref="AE9:AE40" si="5">(((AB9-N9)/N9)*100)</f>
        <v>48.106937914995775</v>
      </c>
      <c r="AF9" s="226"/>
    </row>
    <row r="10" spans="1:251" ht="20.45" customHeight="1">
      <c r="A10" s="135" t="s">
        <v>60</v>
      </c>
      <c r="B10" s="136" t="s">
        <v>61</v>
      </c>
      <c r="C10" s="185">
        <v>13076618.279999999</v>
      </c>
      <c r="D10" s="185">
        <v>85286.22</v>
      </c>
      <c r="E10" s="138">
        <v>13161904.5</v>
      </c>
      <c r="F10" s="185">
        <v>2604502.1</v>
      </c>
      <c r="G10" s="185">
        <v>30116.9</v>
      </c>
      <c r="H10" s="185">
        <v>5271309.53</v>
      </c>
      <c r="I10" s="425"/>
      <c r="J10" s="425"/>
      <c r="K10" s="425"/>
      <c r="L10" s="425"/>
      <c r="M10" s="140">
        <v>7905928.5300000003</v>
      </c>
      <c r="N10" s="140">
        <f t="shared" si="0"/>
        <v>21067833.030000001</v>
      </c>
      <c r="O10" s="185">
        <v>11948443.770000001</v>
      </c>
      <c r="P10" s="185">
        <v>80112</v>
      </c>
      <c r="Q10" s="251">
        <f t="shared" si="1"/>
        <v>12028555.770000001</v>
      </c>
      <c r="R10" s="185">
        <v>3487112.16</v>
      </c>
      <c r="S10" s="185">
        <v>94217.62</v>
      </c>
      <c r="T10" s="185">
        <v>19358781.41</v>
      </c>
      <c r="U10" s="9"/>
      <c r="V10" s="9"/>
      <c r="W10" s="9"/>
      <c r="X10" s="424"/>
      <c r="Y10" s="424"/>
      <c r="Z10" s="424"/>
      <c r="AA10" s="571">
        <f t="shared" si="2"/>
        <v>22940111.190000001</v>
      </c>
      <c r="AB10" s="140">
        <f t="shared" ref="AB10:AB73" si="6">Q10+AA10</f>
        <v>34968666.960000001</v>
      </c>
      <c r="AC10" s="115">
        <f t="shared" si="3"/>
        <v>-8.6108262675815528</v>
      </c>
      <c r="AD10" s="115">
        <f t="shared" si="4"/>
        <v>190.16340209693243</v>
      </c>
      <c r="AE10" s="115">
        <f t="shared" si="5"/>
        <v>65.981318108063618</v>
      </c>
      <c r="AF10" s="226"/>
    </row>
    <row r="11" spans="1:251" ht="20.45" customHeight="1">
      <c r="A11" s="135" t="s">
        <v>62</v>
      </c>
      <c r="B11" s="136" t="s">
        <v>63</v>
      </c>
      <c r="C11" s="185">
        <v>32203166.080000009</v>
      </c>
      <c r="D11" s="185">
        <v>92593619.170000002</v>
      </c>
      <c r="E11" s="138">
        <v>124796785.25000001</v>
      </c>
      <c r="F11" s="185">
        <v>191546.42</v>
      </c>
      <c r="G11" s="185">
        <v>847266.8</v>
      </c>
      <c r="H11" s="185">
        <v>352293732.80000013</v>
      </c>
      <c r="I11" s="425"/>
      <c r="J11" s="425"/>
      <c r="K11" s="425"/>
      <c r="L11" s="425"/>
      <c r="M11" s="140">
        <v>353332546.02000016</v>
      </c>
      <c r="N11" s="140">
        <f t="shared" si="0"/>
        <v>478129331.27000016</v>
      </c>
      <c r="O11" s="185">
        <v>32862034.010000005</v>
      </c>
      <c r="P11" s="185">
        <v>412883589.13</v>
      </c>
      <c r="Q11" s="251">
        <f t="shared" si="1"/>
        <v>445745623.13999999</v>
      </c>
      <c r="R11" s="185">
        <v>1516132.0999999999</v>
      </c>
      <c r="S11" s="185">
        <v>1497690.75</v>
      </c>
      <c r="T11" s="185">
        <v>213474173.61999992</v>
      </c>
      <c r="U11" s="9"/>
      <c r="V11" s="9"/>
      <c r="W11" s="9"/>
      <c r="X11" s="424">
        <v>1.862645149230957E-9</v>
      </c>
      <c r="Y11" s="424"/>
      <c r="Z11" s="424"/>
      <c r="AA11" s="571">
        <f t="shared" si="2"/>
        <v>216487996.46999991</v>
      </c>
      <c r="AB11" s="140">
        <f t="shared" si="6"/>
        <v>662233619.6099999</v>
      </c>
      <c r="AC11" s="115">
        <f t="shared" si="3"/>
        <v>257.17716786298382</v>
      </c>
      <c r="AD11" s="115">
        <f t="shared" si="4"/>
        <v>-38.729675794500473</v>
      </c>
      <c r="AE11" s="115">
        <f t="shared" si="5"/>
        <v>38.505123258383797</v>
      </c>
      <c r="AF11" s="226"/>
    </row>
    <row r="12" spans="1:251" ht="20.45" customHeight="1">
      <c r="A12" s="135" t="s">
        <v>64</v>
      </c>
      <c r="B12" s="136" t="s">
        <v>65</v>
      </c>
      <c r="C12" s="185">
        <v>20911574.410000004</v>
      </c>
      <c r="D12" s="185">
        <v>3626401.0200000005</v>
      </c>
      <c r="E12" s="138">
        <v>24537975.430000003</v>
      </c>
      <c r="F12" s="185">
        <v>9393447.3500000015</v>
      </c>
      <c r="G12" s="185">
        <v>442359.27</v>
      </c>
      <c r="H12" s="185">
        <v>26779840.75</v>
      </c>
      <c r="I12" s="425"/>
      <c r="J12" s="425"/>
      <c r="K12" s="425"/>
      <c r="L12" s="425"/>
      <c r="M12" s="140">
        <v>36615647.370000005</v>
      </c>
      <c r="N12" s="140">
        <f t="shared" si="0"/>
        <v>61153622.800000012</v>
      </c>
      <c r="O12" s="185">
        <v>22545253.330000002</v>
      </c>
      <c r="P12" s="185">
        <v>4087467.080000001</v>
      </c>
      <c r="Q12" s="251">
        <f t="shared" si="1"/>
        <v>26632720.410000004</v>
      </c>
      <c r="R12" s="185">
        <v>6490358</v>
      </c>
      <c r="S12" s="185">
        <v>211174.6</v>
      </c>
      <c r="T12" s="185">
        <v>16176535.610000001</v>
      </c>
      <c r="U12" s="9"/>
      <c r="V12" s="9"/>
      <c r="W12" s="9"/>
      <c r="X12" s="424">
        <v>0</v>
      </c>
      <c r="Y12" s="424"/>
      <c r="Z12" s="424"/>
      <c r="AA12" s="571">
        <f t="shared" si="2"/>
        <v>22878068.210000001</v>
      </c>
      <c r="AB12" s="140">
        <f t="shared" si="6"/>
        <v>49510788.620000005</v>
      </c>
      <c r="AC12" s="115">
        <f t="shared" si="3"/>
        <v>8.536747401902506</v>
      </c>
      <c r="AD12" s="115">
        <f t="shared" si="4"/>
        <v>-37.518329312007467</v>
      </c>
      <c r="AE12" s="115">
        <f t="shared" si="5"/>
        <v>-19.038666307762888</v>
      </c>
      <c r="AF12" s="226"/>
    </row>
    <row r="13" spans="1:251" ht="20.45" customHeight="1">
      <c r="A13" s="135" t="s">
        <v>66</v>
      </c>
      <c r="B13" s="136" t="s">
        <v>67</v>
      </c>
      <c r="C13" s="185">
        <v>11953752.17</v>
      </c>
      <c r="D13" s="185">
        <v>494010.74000000011</v>
      </c>
      <c r="E13" s="138">
        <v>12447762.91</v>
      </c>
      <c r="F13" s="185"/>
      <c r="G13" s="185">
        <v>113914</v>
      </c>
      <c r="H13" s="185">
        <v>12818754.82</v>
      </c>
      <c r="I13" s="425"/>
      <c r="J13" s="425"/>
      <c r="K13" s="425"/>
      <c r="L13" s="425"/>
      <c r="M13" s="140">
        <v>12932668.82</v>
      </c>
      <c r="N13" s="140">
        <f t="shared" si="0"/>
        <v>25380431.73</v>
      </c>
      <c r="O13" s="185">
        <v>12290851.190000001</v>
      </c>
      <c r="P13" s="185">
        <v>453714.51000000013</v>
      </c>
      <c r="Q13" s="251">
        <f t="shared" si="1"/>
        <v>12744565.700000001</v>
      </c>
      <c r="R13" s="9"/>
      <c r="S13" s="185">
        <v>361588.6</v>
      </c>
      <c r="T13" s="185">
        <v>20314402.449999999</v>
      </c>
      <c r="U13" s="9"/>
      <c r="V13" s="9"/>
      <c r="W13" s="9"/>
      <c r="X13" s="424"/>
      <c r="Y13" s="424"/>
      <c r="Z13" s="424"/>
      <c r="AA13" s="571">
        <f t="shared" si="2"/>
        <v>20675991.050000001</v>
      </c>
      <c r="AB13" s="140">
        <f t="shared" si="6"/>
        <v>33420556.75</v>
      </c>
      <c r="AC13" s="115">
        <f t="shared" si="3"/>
        <v>2.3843865933658033</v>
      </c>
      <c r="AD13" s="115">
        <f t="shared" si="4"/>
        <v>59.874124496447138</v>
      </c>
      <c r="AE13" s="115">
        <f t="shared" si="5"/>
        <v>31.678440719731597</v>
      </c>
      <c r="AF13" s="226"/>
    </row>
    <row r="14" spans="1:251" ht="20.45" customHeight="1">
      <c r="A14" s="135" t="s">
        <v>68</v>
      </c>
      <c r="B14" s="136" t="s">
        <v>294</v>
      </c>
      <c r="C14" s="185">
        <v>18081434.500000004</v>
      </c>
      <c r="D14" s="185">
        <v>199034.69</v>
      </c>
      <c r="E14" s="138">
        <v>18280469.190000005</v>
      </c>
      <c r="F14" s="185">
        <v>1414119.1600000001</v>
      </c>
      <c r="G14" s="185">
        <v>6865451.4500000002</v>
      </c>
      <c r="H14" s="185">
        <v>5584805.8500000006</v>
      </c>
      <c r="I14" s="425">
        <v>3941522.1</v>
      </c>
      <c r="J14" s="112"/>
      <c r="K14" s="425"/>
      <c r="L14" s="425"/>
      <c r="M14" s="140">
        <v>17805898.560000002</v>
      </c>
      <c r="N14" s="140">
        <f t="shared" si="0"/>
        <v>36086367.750000007</v>
      </c>
      <c r="O14" s="185">
        <v>17459391.09</v>
      </c>
      <c r="P14" s="185">
        <v>141503.42000000001</v>
      </c>
      <c r="Q14" s="251">
        <f t="shared" si="1"/>
        <v>17600894.510000002</v>
      </c>
      <c r="R14" s="185">
        <v>1130770.3</v>
      </c>
      <c r="S14" s="185">
        <v>9679407.0800000001</v>
      </c>
      <c r="T14" s="185">
        <v>3566063.1700000004</v>
      </c>
      <c r="U14" s="185">
        <v>4274760.16</v>
      </c>
      <c r="V14" s="185"/>
      <c r="W14" s="9"/>
      <c r="X14" s="424"/>
      <c r="Y14" s="424"/>
      <c r="Z14" s="424"/>
      <c r="AA14" s="571">
        <f t="shared" si="2"/>
        <v>18651000.710000001</v>
      </c>
      <c r="AB14" s="140">
        <f t="shared" si="6"/>
        <v>36251895.219999999</v>
      </c>
      <c r="AC14" s="115">
        <f t="shared" si="3"/>
        <v>-3.7174903605414693</v>
      </c>
      <c r="AD14" s="115">
        <f t="shared" si="4"/>
        <v>4.74619209557037</v>
      </c>
      <c r="AE14" s="115">
        <f t="shared" si="5"/>
        <v>0.45869806334274615</v>
      </c>
      <c r="AF14" s="226"/>
    </row>
    <row r="15" spans="1:251" ht="20.45" customHeight="1">
      <c r="A15" s="135" t="s">
        <v>69</v>
      </c>
      <c r="B15" s="136" t="s">
        <v>70</v>
      </c>
      <c r="C15" s="185">
        <v>8712120.8900000006</v>
      </c>
      <c r="D15" s="185">
        <v>7900.1899999999987</v>
      </c>
      <c r="E15" s="138">
        <v>8720021.0800000001</v>
      </c>
      <c r="F15" s="114"/>
      <c r="G15" s="185">
        <v>36610</v>
      </c>
      <c r="H15" s="185">
        <v>540105.71000000008</v>
      </c>
      <c r="I15" s="425"/>
      <c r="J15" s="425"/>
      <c r="K15" s="425"/>
      <c r="L15" s="425"/>
      <c r="M15" s="140">
        <v>576715.71000000008</v>
      </c>
      <c r="N15" s="140">
        <f t="shared" si="0"/>
        <v>9296736.790000001</v>
      </c>
      <c r="O15" s="185">
        <v>8022473.2000000002</v>
      </c>
      <c r="P15" s="185">
        <v>8642.5000000000018</v>
      </c>
      <c r="Q15" s="251">
        <f t="shared" si="1"/>
        <v>8031115.7000000002</v>
      </c>
      <c r="R15" s="9"/>
      <c r="S15" s="185">
        <v>96960</v>
      </c>
      <c r="T15" s="185">
        <v>538851.45000000007</v>
      </c>
      <c r="U15" s="9"/>
      <c r="V15" s="9"/>
      <c r="W15" s="9"/>
      <c r="X15" s="424"/>
      <c r="Y15" s="424"/>
      <c r="Z15" s="424"/>
      <c r="AA15" s="571">
        <f t="shared" si="2"/>
        <v>635811.45000000007</v>
      </c>
      <c r="AB15" s="140">
        <f t="shared" si="6"/>
        <v>8666927.1500000004</v>
      </c>
      <c r="AC15" s="115">
        <f t="shared" si="3"/>
        <v>-7.9002719566820119</v>
      </c>
      <c r="AD15" s="115">
        <f t="shared" si="4"/>
        <v>10.24694472082267</v>
      </c>
      <c r="AE15" s="115">
        <f t="shared" si="5"/>
        <v>-6.7745237304927572</v>
      </c>
      <c r="AF15" s="226"/>
    </row>
    <row r="16" spans="1:251" ht="20.45" customHeight="1">
      <c r="A16" s="135" t="s">
        <v>71</v>
      </c>
      <c r="B16" s="136" t="s">
        <v>72</v>
      </c>
      <c r="C16" s="185">
        <v>16659749.129999999</v>
      </c>
      <c r="D16" s="185">
        <v>2300379.1199999996</v>
      </c>
      <c r="E16" s="138">
        <v>18960128.25</v>
      </c>
      <c r="F16" s="185">
        <v>10364690</v>
      </c>
      <c r="G16" s="185">
        <v>142416</v>
      </c>
      <c r="H16" s="185">
        <v>18557603.029999997</v>
      </c>
      <c r="I16" s="425"/>
      <c r="J16" s="425"/>
      <c r="K16" s="425"/>
      <c r="L16" s="112"/>
      <c r="M16" s="140">
        <v>29064709.029999997</v>
      </c>
      <c r="N16" s="140">
        <f t="shared" si="0"/>
        <v>48024837.280000001</v>
      </c>
      <c r="O16" s="185">
        <v>16983329.270000003</v>
      </c>
      <c r="P16" s="185">
        <v>2272683.15</v>
      </c>
      <c r="Q16" s="251">
        <f t="shared" si="1"/>
        <v>19256012.420000002</v>
      </c>
      <c r="R16" s="185">
        <v>16231145</v>
      </c>
      <c r="S16" s="185">
        <v>73599</v>
      </c>
      <c r="T16" s="185">
        <v>35924544.699999996</v>
      </c>
      <c r="U16" s="9"/>
      <c r="V16" s="9"/>
      <c r="W16" s="9"/>
      <c r="X16" s="424"/>
      <c r="Y16" s="424"/>
      <c r="Z16" s="424">
        <v>73626.039999999994</v>
      </c>
      <c r="AA16" s="571">
        <f t="shared" si="2"/>
        <v>52302914.739999995</v>
      </c>
      <c r="AB16" s="140">
        <f t="shared" si="6"/>
        <v>71558927.159999996</v>
      </c>
      <c r="AC16" s="115">
        <f t="shared" si="3"/>
        <v>1.5605599608747467</v>
      </c>
      <c r="AD16" s="115">
        <f t="shared" si="4"/>
        <v>79.953340272610319</v>
      </c>
      <c r="AE16" s="115">
        <f t="shared" si="5"/>
        <v>49.003997125047619</v>
      </c>
      <c r="AF16" s="226"/>
    </row>
    <row r="17" spans="1:32" ht="20.45" customHeight="1">
      <c r="A17" s="135" t="s">
        <v>73</v>
      </c>
      <c r="B17" s="136" t="s">
        <v>74</v>
      </c>
      <c r="C17" s="185">
        <v>15840656.52</v>
      </c>
      <c r="D17" s="185">
        <v>7941629.629999998</v>
      </c>
      <c r="E17" s="138">
        <v>23782286.149999999</v>
      </c>
      <c r="F17" s="185">
        <v>1315649.45</v>
      </c>
      <c r="G17" s="185">
        <v>381928</v>
      </c>
      <c r="H17" s="185">
        <v>12926836.250000002</v>
      </c>
      <c r="I17" s="425"/>
      <c r="J17" s="425"/>
      <c r="K17" s="425">
        <v>0</v>
      </c>
      <c r="L17" s="425"/>
      <c r="M17" s="140">
        <v>14624413.700000001</v>
      </c>
      <c r="N17" s="140">
        <f t="shared" si="0"/>
        <v>38406699.850000001</v>
      </c>
      <c r="O17" s="185">
        <v>17754393.479999997</v>
      </c>
      <c r="P17" s="185">
        <v>7403136.5100000007</v>
      </c>
      <c r="Q17" s="251">
        <f t="shared" si="1"/>
        <v>25157529.989999998</v>
      </c>
      <c r="R17" s="185">
        <v>2847585</v>
      </c>
      <c r="S17" s="185">
        <v>7820</v>
      </c>
      <c r="T17" s="185">
        <v>16326144.460000001</v>
      </c>
      <c r="U17" s="9"/>
      <c r="V17" s="9"/>
      <c r="W17" s="9"/>
      <c r="X17" s="112"/>
      <c r="Y17" s="112"/>
      <c r="Z17" s="424"/>
      <c r="AA17" s="571">
        <f t="shared" si="2"/>
        <v>19181549.460000001</v>
      </c>
      <c r="AB17" s="140">
        <f t="shared" si="6"/>
        <v>44339079.450000003</v>
      </c>
      <c r="AC17" s="115">
        <f t="shared" si="3"/>
        <v>5.7826393616073783</v>
      </c>
      <c r="AD17" s="115">
        <f t="shared" si="4"/>
        <v>31.161151848432727</v>
      </c>
      <c r="AE17" s="115">
        <f t="shared" si="5"/>
        <v>15.446210226781568</v>
      </c>
      <c r="AF17" s="226"/>
    </row>
    <row r="18" spans="1:32" ht="20.45" customHeight="1">
      <c r="A18" s="135" t="s">
        <v>75</v>
      </c>
      <c r="B18" s="136" t="s">
        <v>76</v>
      </c>
      <c r="C18" s="185">
        <v>17469005.07</v>
      </c>
      <c r="D18" s="185">
        <v>1323051.6000000001</v>
      </c>
      <c r="E18" s="138">
        <v>18792056.670000002</v>
      </c>
      <c r="F18" s="114">
        <v>741425</v>
      </c>
      <c r="G18" s="185">
        <v>138926</v>
      </c>
      <c r="H18" s="185">
        <v>27693895.780000001</v>
      </c>
      <c r="I18" s="425"/>
      <c r="J18" s="425"/>
      <c r="K18" s="425"/>
      <c r="L18" s="425"/>
      <c r="M18" s="140">
        <v>28574246.780000001</v>
      </c>
      <c r="N18" s="140">
        <f t="shared" si="0"/>
        <v>47366303.450000003</v>
      </c>
      <c r="O18" s="185">
        <v>19195089.350000005</v>
      </c>
      <c r="P18" s="185">
        <v>812967.68</v>
      </c>
      <c r="Q18" s="251">
        <f t="shared" si="1"/>
        <v>20008057.030000005</v>
      </c>
      <c r="R18" s="185">
        <v>266670</v>
      </c>
      <c r="S18" s="185">
        <v>35648</v>
      </c>
      <c r="T18" s="185">
        <v>269521237.61000001</v>
      </c>
      <c r="U18" s="9"/>
      <c r="V18" s="9"/>
      <c r="W18" s="9"/>
      <c r="X18" s="424"/>
      <c r="Y18" s="424"/>
      <c r="Z18" s="424"/>
      <c r="AA18" s="571">
        <f t="shared" si="2"/>
        <v>269823555.61000001</v>
      </c>
      <c r="AB18" s="140">
        <f t="shared" si="6"/>
        <v>289831612.64000005</v>
      </c>
      <c r="AC18" s="115">
        <f t="shared" si="3"/>
        <v>6.4708210567566526</v>
      </c>
      <c r="AD18" s="115">
        <f t="shared" si="4"/>
        <v>844.28930248778363</v>
      </c>
      <c r="AE18" s="115">
        <f t="shared" si="5"/>
        <v>511.8940924869662</v>
      </c>
      <c r="AF18" s="226"/>
    </row>
    <row r="19" spans="1:32" ht="20.45" customHeight="1">
      <c r="A19" s="135" t="s">
        <v>77</v>
      </c>
      <c r="B19" s="136" t="s">
        <v>78</v>
      </c>
      <c r="C19" s="185">
        <v>21521362.289999999</v>
      </c>
      <c r="D19" s="185">
        <v>1655271.1900000002</v>
      </c>
      <c r="E19" s="138">
        <v>23176633.48</v>
      </c>
      <c r="F19" s="185">
        <v>128400</v>
      </c>
      <c r="G19" s="185">
        <v>179056.75</v>
      </c>
      <c r="H19" s="185">
        <v>31902081.600000001</v>
      </c>
      <c r="I19" s="425"/>
      <c r="J19" s="425"/>
      <c r="K19" s="425"/>
      <c r="L19" s="425"/>
      <c r="M19" s="140">
        <v>32209538.350000001</v>
      </c>
      <c r="N19" s="140">
        <f t="shared" si="0"/>
        <v>55386171.829999998</v>
      </c>
      <c r="O19" s="185">
        <v>24669056.99000001</v>
      </c>
      <c r="P19" s="185">
        <v>1067629.53</v>
      </c>
      <c r="Q19" s="251">
        <f t="shared" si="1"/>
        <v>25736686.520000011</v>
      </c>
      <c r="R19" s="185">
        <v>2111775</v>
      </c>
      <c r="S19" s="185">
        <v>171163.9</v>
      </c>
      <c r="T19" s="185">
        <v>853665563.86000025</v>
      </c>
      <c r="U19" s="9"/>
      <c r="V19" s="9"/>
      <c r="W19" s="9"/>
      <c r="X19" s="424">
        <v>775000</v>
      </c>
      <c r="Y19" s="424"/>
      <c r="Z19" s="424"/>
      <c r="AA19" s="571">
        <f t="shared" si="2"/>
        <v>856723502.76000023</v>
      </c>
      <c r="AB19" s="140">
        <f t="shared" si="6"/>
        <v>882460189.28000021</v>
      </c>
      <c r="AC19" s="115">
        <f t="shared" si="3"/>
        <v>11.045836498252335</v>
      </c>
      <c r="AD19" s="115">
        <f t="shared" si="4"/>
        <v>2559.844091680377</v>
      </c>
      <c r="AE19" s="115">
        <f t="shared" si="5"/>
        <v>1493.2861220099967</v>
      </c>
      <c r="AF19" s="226"/>
    </row>
    <row r="20" spans="1:32" ht="20.45" customHeight="1">
      <c r="A20" s="135" t="s">
        <v>79</v>
      </c>
      <c r="B20" s="136" t="s">
        <v>80</v>
      </c>
      <c r="C20" s="185">
        <v>14896080.720000001</v>
      </c>
      <c r="D20" s="185">
        <v>3677847.01</v>
      </c>
      <c r="E20" s="138">
        <v>18573927.73</v>
      </c>
      <c r="F20" s="185">
        <v>1084915</v>
      </c>
      <c r="G20" s="185">
        <v>220639</v>
      </c>
      <c r="H20" s="185">
        <v>70879054.870000005</v>
      </c>
      <c r="I20" s="425"/>
      <c r="J20" s="425"/>
      <c r="K20" s="425">
        <v>0</v>
      </c>
      <c r="L20" s="425"/>
      <c r="M20" s="140">
        <v>72184608.870000005</v>
      </c>
      <c r="N20" s="140">
        <f t="shared" si="0"/>
        <v>90758536.600000009</v>
      </c>
      <c r="O20" s="185">
        <v>17183739.93</v>
      </c>
      <c r="P20" s="185">
        <v>2983718.27</v>
      </c>
      <c r="Q20" s="251">
        <f t="shared" si="1"/>
        <v>20167458.199999999</v>
      </c>
      <c r="R20" s="185">
        <v>2109655</v>
      </c>
      <c r="S20" s="185">
        <v>147145</v>
      </c>
      <c r="T20" s="185">
        <v>42517306.969999999</v>
      </c>
      <c r="U20" s="9"/>
      <c r="V20" s="9"/>
      <c r="W20" s="9"/>
      <c r="X20" s="112"/>
      <c r="Y20" s="112"/>
      <c r="Z20" s="424">
        <v>17500</v>
      </c>
      <c r="AA20" s="571">
        <f t="shared" si="2"/>
        <v>44791606.969999999</v>
      </c>
      <c r="AB20" s="140">
        <f t="shared" si="6"/>
        <v>64959065.170000002</v>
      </c>
      <c r="AC20" s="115">
        <f t="shared" si="3"/>
        <v>8.5793941548840014</v>
      </c>
      <c r="AD20" s="115">
        <f t="shared" si="4"/>
        <v>-37.948535468735592</v>
      </c>
      <c r="AE20" s="115">
        <f t="shared" si="5"/>
        <v>-28.426495618484886</v>
      </c>
      <c r="AF20" s="226"/>
    </row>
    <row r="21" spans="1:32" ht="20.45" customHeight="1">
      <c r="A21" s="135" t="s">
        <v>81</v>
      </c>
      <c r="B21" s="136" t="s">
        <v>82</v>
      </c>
      <c r="C21" s="185">
        <v>16271670.599999998</v>
      </c>
      <c r="D21" s="185"/>
      <c r="E21" s="138">
        <v>16271670.599999998</v>
      </c>
      <c r="F21" s="185">
        <v>718140</v>
      </c>
      <c r="G21" s="185">
        <v>249604</v>
      </c>
      <c r="H21" s="185">
        <v>14310985.089999998</v>
      </c>
      <c r="I21" s="114"/>
      <c r="J21" s="114"/>
      <c r="K21" s="114"/>
      <c r="L21" s="114"/>
      <c r="M21" s="140">
        <v>15278729.089999998</v>
      </c>
      <c r="N21" s="140">
        <f t="shared" si="0"/>
        <v>31550399.689999998</v>
      </c>
      <c r="O21" s="185">
        <v>18092965.32</v>
      </c>
      <c r="P21" s="9">
        <v>56755.64</v>
      </c>
      <c r="Q21" s="251">
        <f t="shared" si="1"/>
        <v>18149720.960000001</v>
      </c>
      <c r="R21" s="185">
        <v>43624</v>
      </c>
      <c r="S21" s="185">
        <v>454310</v>
      </c>
      <c r="T21" s="185">
        <v>72308952.219999999</v>
      </c>
      <c r="U21" s="9"/>
      <c r="V21" s="9"/>
      <c r="W21" s="9"/>
      <c r="X21" s="424">
        <v>12900</v>
      </c>
      <c r="Y21" s="424"/>
      <c r="Z21" s="424"/>
      <c r="AA21" s="571">
        <f t="shared" si="2"/>
        <v>72819786.219999999</v>
      </c>
      <c r="AB21" s="140">
        <f t="shared" si="6"/>
        <v>90969507.180000007</v>
      </c>
      <c r="AC21" s="115">
        <f t="shared" si="3"/>
        <v>11.541841069472014</v>
      </c>
      <c r="AD21" s="115">
        <f t="shared" si="4"/>
        <v>376.60892336693701</v>
      </c>
      <c r="AE21" s="115">
        <f t="shared" si="5"/>
        <v>188.33075990740329</v>
      </c>
      <c r="AF21" s="226"/>
    </row>
    <row r="22" spans="1:32" ht="20.45" customHeight="1">
      <c r="A22" s="135" t="s">
        <v>83</v>
      </c>
      <c r="B22" s="136" t="s">
        <v>84</v>
      </c>
      <c r="C22" s="185">
        <v>14839255</v>
      </c>
      <c r="D22" s="185">
        <v>5699028.9799999995</v>
      </c>
      <c r="E22" s="138">
        <v>20538283.98</v>
      </c>
      <c r="F22" s="185">
        <v>708140</v>
      </c>
      <c r="G22" s="185">
        <v>244049</v>
      </c>
      <c r="H22" s="185">
        <v>27732069.610000003</v>
      </c>
      <c r="I22" s="114"/>
      <c r="J22" s="114"/>
      <c r="K22" s="114"/>
      <c r="L22" s="185"/>
      <c r="M22" s="140">
        <v>28684258.610000003</v>
      </c>
      <c r="N22" s="140">
        <f t="shared" si="0"/>
        <v>49222542.590000004</v>
      </c>
      <c r="O22" s="185">
        <v>15139085.850000003</v>
      </c>
      <c r="P22" s="185">
        <v>5667358.96</v>
      </c>
      <c r="Q22" s="251">
        <f t="shared" si="1"/>
        <v>20806444.810000002</v>
      </c>
      <c r="R22" s="185"/>
      <c r="S22" s="185">
        <v>893077</v>
      </c>
      <c r="T22" s="185">
        <v>31858327.720000003</v>
      </c>
      <c r="U22" s="9"/>
      <c r="V22" s="9"/>
      <c r="W22" s="9"/>
      <c r="X22" s="424"/>
      <c r="Y22" s="424"/>
      <c r="Z22" s="424"/>
      <c r="AA22" s="571">
        <f t="shared" si="2"/>
        <v>32751404.720000003</v>
      </c>
      <c r="AB22" s="140">
        <f t="shared" si="6"/>
        <v>53557849.530000001</v>
      </c>
      <c r="AC22" s="115">
        <f t="shared" si="3"/>
        <v>1.3056632689524335</v>
      </c>
      <c r="AD22" s="115">
        <f t="shared" si="4"/>
        <v>14.179017715947161</v>
      </c>
      <c r="AE22" s="115">
        <f t="shared" si="5"/>
        <v>8.8075639978840776</v>
      </c>
      <c r="AF22" s="226"/>
    </row>
    <row r="23" spans="1:32" ht="20.45" customHeight="1">
      <c r="A23" s="135" t="s">
        <v>85</v>
      </c>
      <c r="B23" s="136" t="s">
        <v>86</v>
      </c>
      <c r="C23" s="185">
        <v>16912828.77</v>
      </c>
      <c r="D23" s="185">
        <v>4559797.16</v>
      </c>
      <c r="E23" s="138">
        <v>21472625.93</v>
      </c>
      <c r="F23" s="185">
        <v>1346725</v>
      </c>
      <c r="G23" s="185">
        <v>334507</v>
      </c>
      <c r="H23" s="185">
        <v>38909225.369999997</v>
      </c>
      <c r="I23" s="114"/>
      <c r="J23" s="114"/>
      <c r="K23" s="114"/>
      <c r="L23" s="114"/>
      <c r="M23" s="140">
        <v>40590457.369999997</v>
      </c>
      <c r="N23" s="140">
        <f t="shared" si="0"/>
        <v>62063083.299999997</v>
      </c>
      <c r="O23" s="185">
        <v>18864110.620000001</v>
      </c>
      <c r="P23" s="185">
        <v>4592700.21</v>
      </c>
      <c r="Q23" s="251">
        <f t="shared" si="1"/>
        <v>23456810.830000002</v>
      </c>
      <c r="R23" s="185">
        <v>1759110</v>
      </c>
      <c r="S23" s="185">
        <v>310111</v>
      </c>
      <c r="T23" s="185">
        <v>72640762.409999982</v>
      </c>
      <c r="U23" s="9"/>
      <c r="V23" s="9"/>
      <c r="W23" s="9"/>
      <c r="X23" s="424"/>
      <c r="Y23" s="424"/>
      <c r="Z23" s="424"/>
      <c r="AA23" s="571">
        <f t="shared" si="2"/>
        <v>74709983.409999982</v>
      </c>
      <c r="AB23" s="140">
        <f t="shared" si="6"/>
        <v>98166794.23999998</v>
      </c>
      <c r="AC23" s="115">
        <f t="shared" si="3"/>
        <v>9.2405321383065804</v>
      </c>
      <c r="AD23" s="115">
        <f t="shared" si="4"/>
        <v>84.057998482218096</v>
      </c>
      <c r="AE23" s="115">
        <f t="shared" si="5"/>
        <v>58.172602810405309</v>
      </c>
      <c r="AF23" s="226"/>
    </row>
    <row r="24" spans="1:32" ht="20.45" customHeight="1">
      <c r="A24" s="135" t="s">
        <v>87</v>
      </c>
      <c r="B24" s="136" t="s">
        <v>88</v>
      </c>
      <c r="C24" s="185">
        <v>15732655.869999997</v>
      </c>
      <c r="D24" s="185">
        <v>33338.619999999995</v>
      </c>
      <c r="E24" s="138">
        <v>15765994.489999996</v>
      </c>
      <c r="F24" s="114"/>
      <c r="G24" s="185">
        <v>387110</v>
      </c>
      <c r="H24" s="185">
        <v>24460962.460000001</v>
      </c>
      <c r="I24" s="114"/>
      <c r="J24" s="114"/>
      <c r="K24" s="114"/>
      <c r="L24" s="114"/>
      <c r="M24" s="140">
        <v>24848072.460000001</v>
      </c>
      <c r="N24" s="140">
        <f t="shared" si="0"/>
        <v>40614066.949999996</v>
      </c>
      <c r="O24" s="185">
        <v>15826710.889999999</v>
      </c>
      <c r="P24" s="185">
        <v>518209.38000000006</v>
      </c>
      <c r="Q24" s="251">
        <f t="shared" si="1"/>
        <v>16344920.27</v>
      </c>
      <c r="R24" s="9"/>
      <c r="S24" s="185">
        <v>363863</v>
      </c>
      <c r="T24" s="185">
        <v>72177630.769999981</v>
      </c>
      <c r="U24" s="9"/>
      <c r="V24" s="9"/>
      <c r="W24" s="9"/>
      <c r="X24" s="424"/>
      <c r="Y24" s="424"/>
      <c r="Z24" s="424"/>
      <c r="AA24" s="571">
        <f t="shared" si="2"/>
        <v>72541493.769999981</v>
      </c>
      <c r="AB24" s="140">
        <f t="shared" si="6"/>
        <v>88886414.039999977</v>
      </c>
      <c r="AC24" s="115">
        <f t="shared" si="3"/>
        <v>3.6719902469026113</v>
      </c>
      <c r="AD24" s="115">
        <f t="shared" si="4"/>
        <v>191.94012488001243</v>
      </c>
      <c r="AE24" s="115">
        <f t="shared" si="5"/>
        <v>118.85622572452077</v>
      </c>
      <c r="AF24" s="226"/>
    </row>
    <row r="25" spans="1:32" ht="20.45" customHeight="1">
      <c r="A25" s="135" t="s">
        <v>89</v>
      </c>
      <c r="B25" s="136" t="s">
        <v>90</v>
      </c>
      <c r="C25" s="185">
        <v>22439660.699999999</v>
      </c>
      <c r="D25" s="185">
        <v>9364996.8699999973</v>
      </c>
      <c r="E25" s="138">
        <v>31804657.569999997</v>
      </c>
      <c r="F25" s="185">
        <v>1650147.75</v>
      </c>
      <c r="G25" s="185">
        <v>203909</v>
      </c>
      <c r="H25" s="185">
        <v>20184927.039999999</v>
      </c>
      <c r="I25" s="114"/>
      <c r="J25" s="185"/>
      <c r="K25" s="185"/>
      <c r="L25" s="185">
        <v>57710</v>
      </c>
      <c r="M25" s="140">
        <v>22096693.789999999</v>
      </c>
      <c r="N25" s="140">
        <f t="shared" si="0"/>
        <v>53901351.359999999</v>
      </c>
      <c r="O25" s="185">
        <v>24670428.800000001</v>
      </c>
      <c r="P25" s="185">
        <v>9947567.0399999991</v>
      </c>
      <c r="Q25" s="251">
        <f t="shared" si="1"/>
        <v>34617995.840000004</v>
      </c>
      <c r="R25" s="185">
        <v>9511840</v>
      </c>
      <c r="S25" s="185">
        <v>347069</v>
      </c>
      <c r="T25" s="185">
        <v>28115756.579999998</v>
      </c>
      <c r="U25" s="9"/>
      <c r="V25" s="9"/>
      <c r="W25" s="9"/>
      <c r="X25" s="424"/>
      <c r="Y25" s="424"/>
      <c r="Z25" s="112"/>
      <c r="AA25" s="571">
        <f t="shared" si="2"/>
        <v>37974665.579999998</v>
      </c>
      <c r="AB25" s="140">
        <f t="shared" si="6"/>
        <v>72592661.420000002</v>
      </c>
      <c r="AC25" s="115">
        <f t="shared" si="3"/>
        <v>8.8456801140148471</v>
      </c>
      <c r="AD25" s="115">
        <f t="shared" si="4"/>
        <v>71.856776135376762</v>
      </c>
      <c r="AE25" s="115">
        <f t="shared" si="5"/>
        <v>34.676885807858902</v>
      </c>
      <c r="AF25" s="226"/>
    </row>
    <row r="26" spans="1:32" ht="20.45" customHeight="1">
      <c r="A26" s="135" t="s">
        <v>91</v>
      </c>
      <c r="B26" s="136" t="s">
        <v>92</v>
      </c>
      <c r="C26" s="185">
        <v>15316688.769999998</v>
      </c>
      <c r="D26" s="185">
        <v>70247.990000000005</v>
      </c>
      <c r="E26" s="138">
        <v>15386936.759999998</v>
      </c>
      <c r="F26" s="185">
        <v>1190500</v>
      </c>
      <c r="G26" s="185">
        <v>193517</v>
      </c>
      <c r="H26" s="185">
        <v>14963636.710000001</v>
      </c>
      <c r="I26" s="114"/>
      <c r="J26" s="114"/>
      <c r="K26" s="114"/>
      <c r="L26" s="114"/>
      <c r="M26" s="140">
        <v>16347653.710000001</v>
      </c>
      <c r="N26" s="140">
        <f t="shared" si="0"/>
        <v>31734590.469999999</v>
      </c>
      <c r="O26" s="185">
        <v>15415202.880000001</v>
      </c>
      <c r="P26" s="185">
        <v>82042.430000000008</v>
      </c>
      <c r="Q26" s="251">
        <f t="shared" si="1"/>
        <v>15497245.310000001</v>
      </c>
      <c r="R26" s="185">
        <v>440900</v>
      </c>
      <c r="S26" s="185">
        <v>1220944</v>
      </c>
      <c r="T26" s="185">
        <v>26815837.710000001</v>
      </c>
      <c r="U26" s="9"/>
      <c r="V26" s="9"/>
      <c r="W26" s="9"/>
      <c r="X26" s="424"/>
      <c r="Y26" s="424"/>
      <c r="Z26" s="424"/>
      <c r="AA26" s="571">
        <f t="shared" si="2"/>
        <v>28477681.710000001</v>
      </c>
      <c r="AB26" s="140">
        <f t="shared" si="6"/>
        <v>43974927.020000003</v>
      </c>
      <c r="AC26" s="115">
        <f t="shared" si="3"/>
        <v>0.71689740278104985</v>
      </c>
      <c r="AD26" s="115">
        <f t="shared" si="4"/>
        <v>74.200421755814148</v>
      </c>
      <c r="AE26" s="115">
        <f t="shared" si="5"/>
        <v>38.570961114406984</v>
      </c>
      <c r="AF26" s="226"/>
    </row>
    <row r="27" spans="1:32" ht="20.45" customHeight="1">
      <c r="A27" s="135" t="s">
        <v>93</v>
      </c>
      <c r="B27" s="136" t="s">
        <v>94</v>
      </c>
      <c r="C27" s="185">
        <v>15390928.099999998</v>
      </c>
      <c r="D27" s="185">
        <v>2026283.2600000002</v>
      </c>
      <c r="E27" s="138">
        <v>17417211.359999999</v>
      </c>
      <c r="F27" s="185">
        <v>618094</v>
      </c>
      <c r="G27" s="185">
        <v>172006</v>
      </c>
      <c r="H27" s="185">
        <v>11458552.209999999</v>
      </c>
      <c r="I27" s="114"/>
      <c r="J27" s="114"/>
      <c r="K27" s="114"/>
      <c r="L27" s="114"/>
      <c r="M27" s="140">
        <v>12248652.209999999</v>
      </c>
      <c r="N27" s="140">
        <f t="shared" si="0"/>
        <v>29665863.57</v>
      </c>
      <c r="O27" s="185">
        <v>18258833.499999993</v>
      </c>
      <c r="P27" s="185">
        <v>1566810.7800000003</v>
      </c>
      <c r="Q27" s="251">
        <f t="shared" si="1"/>
        <v>19825644.279999994</v>
      </c>
      <c r="R27" s="185">
        <v>275000</v>
      </c>
      <c r="S27" s="185">
        <v>35954</v>
      </c>
      <c r="T27" s="185">
        <v>17796756.990000002</v>
      </c>
      <c r="U27" s="9"/>
      <c r="V27" s="9"/>
      <c r="W27" s="9"/>
      <c r="X27" s="424"/>
      <c r="Y27" s="424"/>
      <c r="Z27" s="424"/>
      <c r="AA27" s="571">
        <f t="shared" si="2"/>
        <v>18107710.990000002</v>
      </c>
      <c r="AB27" s="140">
        <f t="shared" si="6"/>
        <v>37933355.269999996</v>
      </c>
      <c r="AC27" s="115">
        <f t="shared" si="3"/>
        <v>13.827890528624753</v>
      </c>
      <c r="AD27" s="115">
        <f t="shared" si="4"/>
        <v>47.834314172269274</v>
      </c>
      <c r="AE27" s="115">
        <f t="shared" si="5"/>
        <v>27.86870397516628</v>
      </c>
      <c r="AF27" s="226"/>
    </row>
    <row r="28" spans="1:32" ht="20.45" customHeight="1">
      <c r="A28" s="135" t="s">
        <v>95</v>
      </c>
      <c r="B28" s="136" t="s">
        <v>96</v>
      </c>
      <c r="C28" s="185">
        <v>14788089.749999996</v>
      </c>
      <c r="D28" s="185">
        <v>14044067.360000003</v>
      </c>
      <c r="E28" s="138">
        <v>28832157.109999999</v>
      </c>
      <c r="F28" s="185">
        <v>1251505</v>
      </c>
      <c r="G28" s="185">
        <v>325338</v>
      </c>
      <c r="H28" s="185">
        <v>7849263.1899999995</v>
      </c>
      <c r="I28" s="114"/>
      <c r="J28" s="114"/>
      <c r="K28" s="114"/>
      <c r="L28" s="114">
        <v>8023004.2599999998</v>
      </c>
      <c r="M28" s="140">
        <v>17449110.449999999</v>
      </c>
      <c r="N28" s="140">
        <f t="shared" si="0"/>
        <v>46281267.560000002</v>
      </c>
      <c r="O28" s="185">
        <v>14259301.549999999</v>
      </c>
      <c r="P28" s="185">
        <v>17530625.310000002</v>
      </c>
      <c r="Q28" s="251">
        <f t="shared" si="1"/>
        <v>31789926.859999999</v>
      </c>
      <c r="R28" s="185">
        <v>1443400</v>
      </c>
      <c r="S28" s="185">
        <v>351858.15</v>
      </c>
      <c r="T28" s="185">
        <v>176734389.12</v>
      </c>
      <c r="U28" s="9"/>
      <c r="V28" s="9"/>
      <c r="W28" s="9"/>
      <c r="X28" s="424"/>
      <c r="Y28" s="424"/>
      <c r="Z28" s="112">
        <v>463000</v>
      </c>
      <c r="AA28" s="571">
        <f t="shared" si="2"/>
        <v>178992647.27000001</v>
      </c>
      <c r="AB28" s="140">
        <f t="shared" si="6"/>
        <v>210782574.13</v>
      </c>
      <c r="AC28" s="115">
        <f t="shared" si="3"/>
        <v>10.258579469845293</v>
      </c>
      <c r="AD28" s="115">
        <f t="shared" si="4"/>
        <v>925.79812181772297</v>
      </c>
      <c r="AE28" s="115">
        <f t="shared" si="5"/>
        <v>355.43820479146791</v>
      </c>
      <c r="AF28" s="226"/>
    </row>
    <row r="29" spans="1:32" ht="20.45" customHeight="1">
      <c r="A29" s="135" t="s">
        <v>97</v>
      </c>
      <c r="B29" s="136" t="s">
        <v>98</v>
      </c>
      <c r="C29" s="185">
        <v>16800660.25</v>
      </c>
      <c r="D29" s="185">
        <v>242581.99999999997</v>
      </c>
      <c r="E29" s="138">
        <v>17043242.25</v>
      </c>
      <c r="F29" s="114"/>
      <c r="G29" s="185">
        <v>132252</v>
      </c>
      <c r="H29" s="185">
        <v>27869906.57</v>
      </c>
      <c r="I29" s="114"/>
      <c r="J29" s="114"/>
      <c r="K29" s="114"/>
      <c r="L29" s="114"/>
      <c r="M29" s="140">
        <v>28002158.57</v>
      </c>
      <c r="N29" s="140">
        <f t="shared" si="0"/>
        <v>45045400.82</v>
      </c>
      <c r="O29" s="185">
        <v>16725350.449999997</v>
      </c>
      <c r="P29" s="185">
        <v>602496</v>
      </c>
      <c r="Q29" s="251">
        <f t="shared" si="1"/>
        <v>17327846.449999996</v>
      </c>
      <c r="R29" s="9">
        <v>147700</v>
      </c>
      <c r="S29" s="185">
        <v>258844</v>
      </c>
      <c r="T29" s="185">
        <v>113715675.94</v>
      </c>
      <c r="U29" s="9"/>
      <c r="V29" s="9"/>
      <c r="W29" s="9"/>
      <c r="X29" s="424"/>
      <c r="Y29" s="424"/>
      <c r="Z29" s="424"/>
      <c r="AA29" s="571">
        <f t="shared" si="2"/>
        <v>114122219.94</v>
      </c>
      <c r="AB29" s="140">
        <f t="shared" si="6"/>
        <v>131450066.38999999</v>
      </c>
      <c r="AC29" s="115">
        <f t="shared" si="3"/>
        <v>1.669894705627361</v>
      </c>
      <c r="AD29" s="115">
        <f t="shared" si="4"/>
        <v>307.54793833024138</v>
      </c>
      <c r="AE29" s="115">
        <f t="shared" si="5"/>
        <v>191.81684255684684</v>
      </c>
      <c r="AF29" s="226"/>
    </row>
    <row r="30" spans="1:32" ht="20.45" customHeight="1">
      <c r="A30" s="135" t="s">
        <v>99</v>
      </c>
      <c r="B30" s="136" t="s">
        <v>100</v>
      </c>
      <c r="C30" s="185">
        <v>16363355.720000001</v>
      </c>
      <c r="D30" s="185">
        <v>316023540.55999994</v>
      </c>
      <c r="E30" s="138">
        <v>332386896.27999997</v>
      </c>
      <c r="F30" s="185">
        <v>61400</v>
      </c>
      <c r="G30" s="185">
        <v>310088</v>
      </c>
      <c r="H30" s="185">
        <v>20903433.199999999</v>
      </c>
      <c r="I30" s="114"/>
      <c r="J30" s="114"/>
      <c r="K30" s="114"/>
      <c r="L30" s="114"/>
      <c r="M30" s="140">
        <v>21274921.199999999</v>
      </c>
      <c r="N30" s="140">
        <f t="shared" si="0"/>
        <v>353661817.47999996</v>
      </c>
      <c r="O30" s="185">
        <v>17335826.91</v>
      </c>
      <c r="P30" s="185">
        <v>1203951.3500000003</v>
      </c>
      <c r="Q30" s="251">
        <f t="shared" si="1"/>
        <v>18539778.260000002</v>
      </c>
      <c r="R30" s="185">
        <v>1188422</v>
      </c>
      <c r="S30" s="185">
        <v>221337</v>
      </c>
      <c r="T30" s="185">
        <v>25257172.920000006</v>
      </c>
      <c r="U30" s="9"/>
      <c r="V30" s="9"/>
      <c r="W30" s="9">
        <v>14600</v>
      </c>
      <c r="X30" s="424"/>
      <c r="Y30" s="424"/>
      <c r="Z30" s="424">
        <v>80000</v>
      </c>
      <c r="AA30" s="571">
        <f t="shared" si="2"/>
        <v>26761531.920000006</v>
      </c>
      <c r="AB30" s="140">
        <f t="shared" si="6"/>
        <v>45301310.180000007</v>
      </c>
      <c r="AC30" s="115">
        <f t="shared" si="3"/>
        <v>-94.422229495959968</v>
      </c>
      <c r="AD30" s="115">
        <f t="shared" si="4"/>
        <v>25.789100079017008</v>
      </c>
      <c r="AE30" s="115">
        <f t="shared" si="5"/>
        <v>-87.190782849335477</v>
      </c>
      <c r="AF30" s="226"/>
    </row>
    <row r="31" spans="1:32" ht="20.45" customHeight="1">
      <c r="A31" s="135" t="s">
        <v>101</v>
      </c>
      <c r="B31" s="136" t="s">
        <v>102</v>
      </c>
      <c r="C31" s="185">
        <v>16139401.58</v>
      </c>
      <c r="D31" s="185">
        <v>9876936.2799999993</v>
      </c>
      <c r="E31" s="138">
        <v>26016337.859999999</v>
      </c>
      <c r="F31" s="185">
        <v>1164078</v>
      </c>
      <c r="G31" s="185">
        <v>241624</v>
      </c>
      <c r="H31" s="185">
        <v>18216413.390000001</v>
      </c>
      <c r="I31" s="114"/>
      <c r="J31" s="114"/>
      <c r="K31" s="114"/>
      <c r="L31" s="114">
        <v>729600</v>
      </c>
      <c r="M31" s="140">
        <v>20351715.390000001</v>
      </c>
      <c r="N31" s="140">
        <f t="shared" si="0"/>
        <v>46368053.25</v>
      </c>
      <c r="O31" s="185">
        <v>16240695.41</v>
      </c>
      <c r="P31" s="185">
        <v>5116986.8599999985</v>
      </c>
      <c r="Q31" s="251">
        <f t="shared" si="1"/>
        <v>21357682.27</v>
      </c>
      <c r="R31" s="185">
        <v>1691523</v>
      </c>
      <c r="S31" s="185">
        <v>604409</v>
      </c>
      <c r="T31" s="185">
        <v>18575253.859999999</v>
      </c>
      <c r="U31" s="9"/>
      <c r="V31" s="9"/>
      <c r="W31" s="9"/>
      <c r="X31" s="424"/>
      <c r="Y31" s="424"/>
      <c r="Z31" s="112"/>
      <c r="AA31" s="571">
        <f t="shared" si="2"/>
        <v>20871185.859999999</v>
      </c>
      <c r="AB31" s="140">
        <f t="shared" si="6"/>
        <v>42228868.129999995</v>
      </c>
      <c r="AC31" s="115">
        <f t="shared" si="3"/>
        <v>-17.906653945952407</v>
      </c>
      <c r="AD31" s="115">
        <f t="shared" si="4"/>
        <v>2.5524652838612578</v>
      </c>
      <c r="AE31" s="115">
        <f t="shared" si="5"/>
        <v>-8.9268037579300454</v>
      </c>
      <c r="AF31" s="226"/>
    </row>
    <row r="32" spans="1:32" ht="20.45" customHeight="1">
      <c r="A32" s="135" t="s">
        <v>103</v>
      </c>
      <c r="B32" s="136" t="s">
        <v>104</v>
      </c>
      <c r="C32" s="185">
        <v>16348635.230000002</v>
      </c>
      <c r="D32" s="185">
        <v>2368826.5400000005</v>
      </c>
      <c r="E32" s="138">
        <v>18717461.770000003</v>
      </c>
      <c r="F32" s="185">
        <v>762760</v>
      </c>
      <c r="G32" s="185">
        <v>914498.8</v>
      </c>
      <c r="H32" s="185">
        <v>36393190.06000001</v>
      </c>
      <c r="I32" s="114"/>
      <c r="J32" s="114"/>
      <c r="K32" s="114"/>
      <c r="L32" s="185">
        <v>618275</v>
      </c>
      <c r="M32" s="140">
        <v>38688723.860000007</v>
      </c>
      <c r="N32" s="140">
        <f t="shared" si="0"/>
        <v>57406185.63000001</v>
      </c>
      <c r="O32" s="185">
        <v>19388667.949999999</v>
      </c>
      <c r="P32" s="185">
        <v>3704900.5400000005</v>
      </c>
      <c r="Q32" s="251">
        <f t="shared" si="1"/>
        <v>23093568.489999998</v>
      </c>
      <c r="R32" s="185">
        <v>2677320</v>
      </c>
      <c r="S32" s="185">
        <v>697537</v>
      </c>
      <c r="T32" s="185">
        <v>45876990.200000003</v>
      </c>
      <c r="U32" s="9"/>
      <c r="V32" s="9"/>
      <c r="W32" s="9"/>
      <c r="X32" s="424"/>
      <c r="Y32" s="424"/>
      <c r="Z32" s="112">
        <v>1777500</v>
      </c>
      <c r="AA32" s="571">
        <f t="shared" si="2"/>
        <v>51029347.200000003</v>
      </c>
      <c r="AB32" s="140">
        <f t="shared" si="6"/>
        <v>74122915.689999998</v>
      </c>
      <c r="AC32" s="115">
        <f t="shared" si="3"/>
        <v>23.379808511290438</v>
      </c>
      <c r="AD32" s="115">
        <f t="shared" si="4"/>
        <v>31.897209596925673</v>
      </c>
      <c r="AE32" s="115">
        <f t="shared" si="5"/>
        <v>29.120085016176304</v>
      </c>
      <c r="AF32" s="226"/>
    </row>
    <row r="33" spans="1:32" ht="20.45" customHeight="1">
      <c r="A33" s="135" t="s">
        <v>105</v>
      </c>
      <c r="B33" s="136" t="s">
        <v>106</v>
      </c>
      <c r="C33" s="185">
        <v>27552597.34</v>
      </c>
      <c r="D33" s="185">
        <v>6425170.9100000001</v>
      </c>
      <c r="E33" s="138">
        <v>33977768.25</v>
      </c>
      <c r="F33" s="185">
        <v>4518919</v>
      </c>
      <c r="G33" s="185">
        <v>1528552</v>
      </c>
      <c r="H33" s="185">
        <v>51541015.93</v>
      </c>
      <c r="I33" s="114"/>
      <c r="J33" s="114"/>
      <c r="K33" s="114"/>
      <c r="L33" s="114"/>
      <c r="M33" s="140">
        <v>57588486.93</v>
      </c>
      <c r="N33" s="140">
        <f t="shared" si="0"/>
        <v>91566255.180000007</v>
      </c>
      <c r="O33" s="185">
        <v>33713742.799999997</v>
      </c>
      <c r="P33" s="185">
        <v>6408745.4799999995</v>
      </c>
      <c r="Q33" s="251">
        <f t="shared" si="1"/>
        <v>40122488.279999994</v>
      </c>
      <c r="R33" s="185">
        <v>2035398</v>
      </c>
      <c r="S33" s="185">
        <v>1204805.25</v>
      </c>
      <c r="T33" s="185">
        <v>717830593.14000046</v>
      </c>
      <c r="U33" s="9"/>
      <c r="V33" s="9"/>
      <c r="W33" s="9"/>
      <c r="X33" s="424"/>
      <c r="Y33" s="424"/>
      <c r="Z33" s="424"/>
      <c r="AA33" s="571">
        <f t="shared" si="2"/>
        <v>721070796.39000046</v>
      </c>
      <c r="AB33" s="140">
        <f t="shared" si="6"/>
        <v>761193284.67000043</v>
      </c>
      <c r="AC33" s="115">
        <f t="shared" si="3"/>
        <v>18.084530993291455</v>
      </c>
      <c r="AD33" s="115">
        <f t="shared" si="4"/>
        <v>1152.1092927245631</v>
      </c>
      <c r="AE33" s="115">
        <f t="shared" si="5"/>
        <v>731.30328216836483</v>
      </c>
      <c r="AF33" s="226"/>
    </row>
    <row r="34" spans="1:32" ht="20.45" customHeight="1">
      <c r="A34" s="135" t="s">
        <v>107</v>
      </c>
      <c r="B34" s="136" t="s">
        <v>108</v>
      </c>
      <c r="C34" s="185">
        <v>23785546.280000005</v>
      </c>
      <c r="D34" s="185">
        <v>891622.52999999991</v>
      </c>
      <c r="E34" s="138">
        <v>24677168.810000006</v>
      </c>
      <c r="F34" s="185">
        <v>20000</v>
      </c>
      <c r="G34" s="185">
        <v>1488622</v>
      </c>
      <c r="H34" s="185">
        <v>41039425.719999999</v>
      </c>
      <c r="I34" s="114"/>
      <c r="J34" s="114"/>
      <c r="K34" s="114"/>
      <c r="L34" s="185">
        <v>10000</v>
      </c>
      <c r="M34" s="140">
        <v>42558047.719999999</v>
      </c>
      <c r="N34" s="140">
        <f t="shared" si="0"/>
        <v>67235216.530000001</v>
      </c>
      <c r="O34" s="185">
        <v>27109271.220000003</v>
      </c>
      <c r="P34" s="185">
        <v>807381.23</v>
      </c>
      <c r="Q34" s="251">
        <f t="shared" si="1"/>
        <v>27916652.450000003</v>
      </c>
      <c r="R34" s="185">
        <v>1477302</v>
      </c>
      <c r="S34" s="185">
        <v>3089837</v>
      </c>
      <c r="T34" s="185">
        <v>106426786.74000001</v>
      </c>
      <c r="U34" s="9"/>
      <c r="V34" s="9"/>
      <c r="W34" s="9"/>
      <c r="X34" s="424"/>
      <c r="Y34" s="424"/>
      <c r="Z34" s="112">
        <v>188200</v>
      </c>
      <c r="AA34" s="571">
        <f t="shared" si="2"/>
        <v>111182125.74000001</v>
      </c>
      <c r="AB34" s="140">
        <f t="shared" si="6"/>
        <v>139098778.19</v>
      </c>
      <c r="AC34" s="115">
        <f t="shared" si="3"/>
        <v>13.127452605856677</v>
      </c>
      <c r="AD34" s="115">
        <f t="shared" si="4"/>
        <v>161.24818147555763</v>
      </c>
      <c r="AE34" s="115">
        <f t="shared" si="5"/>
        <v>106.8838108492368</v>
      </c>
      <c r="AF34" s="226"/>
    </row>
    <row r="35" spans="1:32" ht="20.45" customHeight="1">
      <c r="A35" s="135" t="s">
        <v>109</v>
      </c>
      <c r="B35" s="136" t="s">
        <v>110</v>
      </c>
      <c r="C35" s="185">
        <v>18868003.34</v>
      </c>
      <c r="D35" s="185">
        <v>5453694.0399999991</v>
      </c>
      <c r="E35" s="138">
        <v>24321697.379999999</v>
      </c>
      <c r="F35" s="185">
        <v>372932</v>
      </c>
      <c r="G35" s="185">
        <v>596138.48</v>
      </c>
      <c r="H35" s="185">
        <v>24139253.879999999</v>
      </c>
      <c r="I35" s="114"/>
      <c r="J35" s="114"/>
      <c r="K35" s="114"/>
      <c r="L35" s="114"/>
      <c r="M35" s="140">
        <v>25108324.359999999</v>
      </c>
      <c r="N35" s="140">
        <f t="shared" si="0"/>
        <v>49430021.739999995</v>
      </c>
      <c r="O35" s="185">
        <v>20175616.279999997</v>
      </c>
      <c r="P35" s="185">
        <v>2648231.9700000002</v>
      </c>
      <c r="Q35" s="251">
        <f t="shared" si="1"/>
        <v>22823848.249999996</v>
      </c>
      <c r="R35" s="185">
        <v>2225583</v>
      </c>
      <c r="S35" s="185">
        <v>612186.05000000005</v>
      </c>
      <c r="T35" s="185">
        <v>67270367.99000001</v>
      </c>
      <c r="U35" s="9"/>
      <c r="V35" s="9"/>
      <c r="W35" s="9"/>
      <c r="X35" s="424"/>
      <c r="Y35" s="424"/>
      <c r="Z35" s="424"/>
      <c r="AA35" s="571">
        <f t="shared" si="2"/>
        <v>70108137.040000007</v>
      </c>
      <c r="AB35" s="140">
        <f t="shared" si="6"/>
        <v>92931985.290000007</v>
      </c>
      <c r="AC35" s="115">
        <f t="shared" si="3"/>
        <v>-6.1584892970163372</v>
      </c>
      <c r="AD35" s="115">
        <f t="shared" si="4"/>
        <v>179.22268342083825</v>
      </c>
      <c r="AE35" s="115">
        <f t="shared" si="5"/>
        <v>88.007170579083834</v>
      </c>
      <c r="AF35" s="226"/>
    </row>
    <row r="36" spans="1:32" ht="20.45" customHeight="1">
      <c r="A36" s="135" t="s">
        <v>111</v>
      </c>
      <c r="B36" s="136" t="s">
        <v>300</v>
      </c>
      <c r="C36" s="185">
        <v>17865572.210000001</v>
      </c>
      <c r="D36" s="185">
        <v>27643.490000000005</v>
      </c>
      <c r="E36" s="138">
        <v>17893215.699999999</v>
      </c>
      <c r="F36" s="185">
        <v>1648865</v>
      </c>
      <c r="G36" s="185">
        <v>715884</v>
      </c>
      <c r="H36" s="185">
        <v>16728368.98</v>
      </c>
      <c r="I36" s="114"/>
      <c r="J36" s="114"/>
      <c r="K36" s="114"/>
      <c r="L36" s="114"/>
      <c r="M36" s="140">
        <v>19093117.98</v>
      </c>
      <c r="N36" s="140">
        <f t="shared" si="0"/>
        <v>36986333.68</v>
      </c>
      <c r="O36" s="185">
        <v>19894587.459999993</v>
      </c>
      <c r="P36" s="185">
        <v>1084810.74</v>
      </c>
      <c r="Q36" s="251">
        <f t="shared" si="1"/>
        <v>20979398.199999992</v>
      </c>
      <c r="R36" s="185">
        <v>290570</v>
      </c>
      <c r="S36" s="185">
        <v>949063.1</v>
      </c>
      <c r="T36" s="185">
        <v>412189035.07000011</v>
      </c>
      <c r="U36" s="9"/>
      <c r="V36" s="9"/>
      <c r="W36" s="9"/>
      <c r="X36" s="424"/>
      <c r="Y36" s="424"/>
      <c r="Z36" s="424"/>
      <c r="AA36" s="571">
        <f t="shared" si="2"/>
        <v>413428668.17000014</v>
      </c>
      <c r="AB36" s="140">
        <f t="shared" si="6"/>
        <v>434408066.37000012</v>
      </c>
      <c r="AC36" s="115">
        <f t="shared" si="3"/>
        <v>17.247780118137136</v>
      </c>
      <c r="AD36" s="115">
        <f t="shared" si="4"/>
        <v>2065.3282015177706</v>
      </c>
      <c r="AE36" s="115">
        <f t="shared" si="5"/>
        <v>1074.5096719464846</v>
      </c>
      <c r="AF36" s="226"/>
    </row>
    <row r="37" spans="1:32" ht="20.45" customHeight="1">
      <c r="A37" s="135" t="s">
        <v>112</v>
      </c>
      <c r="B37" s="136" t="s">
        <v>113</v>
      </c>
      <c r="C37" s="185">
        <v>18807431.289999999</v>
      </c>
      <c r="D37" s="185">
        <v>4794421.18</v>
      </c>
      <c r="E37" s="138">
        <v>23601852.469999999</v>
      </c>
      <c r="F37" s="185">
        <v>6618334</v>
      </c>
      <c r="G37" s="185">
        <v>691070.55</v>
      </c>
      <c r="H37" s="185">
        <v>20758474.290000003</v>
      </c>
      <c r="I37" s="114"/>
      <c r="J37" s="114"/>
      <c r="K37" s="114"/>
      <c r="L37" s="114"/>
      <c r="M37" s="140">
        <v>28067878.840000004</v>
      </c>
      <c r="N37" s="140">
        <f t="shared" si="0"/>
        <v>51669731.310000002</v>
      </c>
      <c r="O37" s="185">
        <v>19618262.220000003</v>
      </c>
      <c r="P37" s="185">
        <v>26449466.380000003</v>
      </c>
      <c r="Q37" s="251">
        <f t="shared" si="1"/>
        <v>46067728.600000009</v>
      </c>
      <c r="R37" s="185">
        <v>4957320</v>
      </c>
      <c r="S37" s="185">
        <v>754424.1</v>
      </c>
      <c r="T37" s="185">
        <v>34615160.890000001</v>
      </c>
      <c r="U37" s="9"/>
      <c r="V37" s="9"/>
      <c r="W37" s="9"/>
      <c r="X37" s="424">
        <v>3</v>
      </c>
      <c r="Y37" s="424">
        <v>29312373.809999999</v>
      </c>
      <c r="Z37" s="424">
        <v>0</v>
      </c>
      <c r="AA37" s="571">
        <f t="shared" si="2"/>
        <v>69639281.799999997</v>
      </c>
      <c r="AB37" s="140">
        <f t="shared" si="6"/>
        <v>115707010.40000001</v>
      </c>
      <c r="AC37" s="115">
        <f t="shared" si="3"/>
        <v>95.186918732570192</v>
      </c>
      <c r="AD37" s="115">
        <f t="shared" si="4"/>
        <v>148.11024088060367</v>
      </c>
      <c r="AE37" s="115">
        <f t="shared" si="5"/>
        <v>123.93576948523133</v>
      </c>
      <c r="AF37" s="226"/>
    </row>
    <row r="38" spans="1:32" ht="20.45" customHeight="1">
      <c r="A38" s="135" t="s">
        <v>114</v>
      </c>
      <c r="B38" s="136" t="s">
        <v>115</v>
      </c>
      <c r="C38" s="185">
        <v>14969607.739999998</v>
      </c>
      <c r="D38" s="185">
        <v>3460760.55</v>
      </c>
      <c r="E38" s="138">
        <v>18430368.289999999</v>
      </c>
      <c r="F38" s="185">
        <v>3401707</v>
      </c>
      <c r="G38" s="185">
        <v>531490</v>
      </c>
      <c r="H38" s="185">
        <v>16500649.67</v>
      </c>
      <c r="I38" s="425"/>
      <c r="J38" s="425"/>
      <c r="K38" s="114"/>
      <c r="L38" s="114"/>
      <c r="M38" s="140">
        <v>20433846.670000002</v>
      </c>
      <c r="N38" s="140">
        <f t="shared" si="0"/>
        <v>38864214.960000001</v>
      </c>
      <c r="O38" s="185">
        <v>16651461.709999999</v>
      </c>
      <c r="P38" s="185">
        <v>4193592.9300000006</v>
      </c>
      <c r="Q38" s="251">
        <f t="shared" si="1"/>
        <v>20845054.640000001</v>
      </c>
      <c r="R38" s="185">
        <v>2525290</v>
      </c>
      <c r="S38" s="185">
        <v>314004</v>
      </c>
      <c r="T38" s="185">
        <v>38343425.460000001</v>
      </c>
      <c r="U38" s="9"/>
      <c r="V38" s="9"/>
      <c r="W38" s="9"/>
      <c r="X38" s="424"/>
      <c r="Y38" s="424"/>
      <c r="Z38" s="424"/>
      <c r="AA38" s="571">
        <f t="shared" si="2"/>
        <v>41182719.460000001</v>
      </c>
      <c r="AB38" s="140">
        <f t="shared" si="6"/>
        <v>62027774.100000001</v>
      </c>
      <c r="AC38" s="115">
        <f t="shared" si="3"/>
        <v>13.101671719225322</v>
      </c>
      <c r="AD38" s="115">
        <f t="shared" si="4"/>
        <v>101.54168779421499</v>
      </c>
      <c r="AE38" s="115">
        <f t="shared" si="5"/>
        <v>59.601253142101299</v>
      </c>
      <c r="AF38" s="226"/>
    </row>
    <row r="39" spans="1:32" ht="20.45" customHeight="1">
      <c r="A39" s="135" t="s">
        <v>116</v>
      </c>
      <c r="B39" s="136" t="s">
        <v>117</v>
      </c>
      <c r="C39" s="185">
        <v>17936025.170000002</v>
      </c>
      <c r="D39" s="185">
        <v>25996974.899999999</v>
      </c>
      <c r="E39" s="138">
        <v>43933000.07</v>
      </c>
      <c r="F39" s="185">
        <v>3657436</v>
      </c>
      <c r="G39" s="185">
        <v>240516</v>
      </c>
      <c r="H39" s="185">
        <v>24146420.059999991</v>
      </c>
      <c r="I39" s="425"/>
      <c r="J39" s="425"/>
      <c r="K39" s="425">
        <v>436558.14</v>
      </c>
      <c r="L39" s="112">
        <v>61460</v>
      </c>
      <c r="M39" s="140">
        <v>28542390.199999992</v>
      </c>
      <c r="N39" s="140">
        <f t="shared" si="0"/>
        <v>72475390.269999996</v>
      </c>
      <c r="O39" s="185">
        <v>18908065.489999998</v>
      </c>
      <c r="P39" s="185">
        <v>26385858.460000005</v>
      </c>
      <c r="Q39" s="251">
        <f t="shared" si="1"/>
        <v>45293923.950000003</v>
      </c>
      <c r="R39" s="185">
        <v>4021263</v>
      </c>
      <c r="S39" s="185">
        <v>149286</v>
      </c>
      <c r="T39" s="185">
        <v>26435899.900000006</v>
      </c>
      <c r="U39" s="9"/>
      <c r="V39" s="9"/>
      <c r="W39" s="9"/>
      <c r="X39" s="112"/>
      <c r="Y39" s="112"/>
      <c r="Z39" s="112"/>
      <c r="AA39" s="571">
        <f t="shared" si="2"/>
        <v>30606448.900000006</v>
      </c>
      <c r="AB39" s="140">
        <f t="shared" si="6"/>
        <v>75900372.850000009</v>
      </c>
      <c r="AC39" s="115">
        <f t="shared" si="3"/>
        <v>3.0977258048200547</v>
      </c>
      <c r="AD39" s="115">
        <f t="shared" si="4"/>
        <v>7.2315551904970272</v>
      </c>
      <c r="AE39" s="115">
        <f t="shared" si="5"/>
        <v>4.7257180226840791</v>
      </c>
      <c r="AF39" s="226"/>
    </row>
    <row r="40" spans="1:32" ht="20.45" customHeight="1">
      <c r="A40" s="135" t="s">
        <v>118</v>
      </c>
      <c r="B40" s="136" t="s">
        <v>119</v>
      </c>
      <c r="C40" s="185">
        <v>17539781.420000002</v>
      </c>
      <c r="D40" s="185">
        <v>13368778.019999998</v>
      </c>
      <c r="E40" s="138">
        <v>30908559.439999998</v>
      </c>
      <c r="F40" s="185">
        <v>4260323</v>
      </c>
      <c r="G40" s="185">
        <v>467386.1</v>
      </c>
      <c r="H40" s="185">
        <v>20819333.129999999</v>
      </c>
      <c r="I40" s="425"/>
      <c r="J40" s="425"/>
      <c r="K40" s="425"/>
      <c r="L40" s="425"/>
      <c r="M40" s="140">
        <v>25547042.229999997</v>
      </c>
      <c r="N40" s="140">
        <f t="shared" si="0"/>
        <v>56455601.669999994</v>
      </c>
      <c r="O40" s="185">
        <v>17779912.380000003</v>
      </c>
      <c r="P40" s="185">
        <v>27583121.16</v>
      </c>
      <c r="Q40" s="251">
        <f t="shared" si="1"/>
        <v>45363033.540000007</v>
      </c>
      <c r="R40" s="185">
        <v>66504</v>
      </c>
      <c r="S40" s="185">
        <v>581195</v>
      </c>
      <c r="T40" s="185">
        <v>88297475.239999995</v>
      </c>
      <c r="U40" s="9"/>
      <c r="V40" s="9"/>
      <c r="W40" s="9"/>
      <c r="X40" s="424"/>
      <c r="Y40" s="424"/>
      <c r="Z40" s="424"/>
      <c r="AA40" s="571">
        <f t="shared" si="2"/>
        <v>88945174.239999995</v>
      </c>
      <c r="AB40" s="140">
        <f t="shared" si="6"/>
        <v>134308207.78</v>
      </c>
      <c r="AC40" s="115">
        <f t="shared" si="3"/>
        <v>46.765279139130307</v>
      </c>
      <c r="AD40" s="115">
        <f t="shared" si="4"/>
        <v>248.16231734079693</v>
      </c>
      <c r="AE40" s="115">
        <f t="shared" si="5"/>
        <v>137.9005870224747</v>
      </c>
      <c r="AF40" s="226"/>
    </row>
    <row r="41" spans="1:32" ht="20.45" customHeight="1">
      <c r="A41" s="135" t="s">
        <v>120</v>
      </c>
      <c r="B41" s="136" t="s">
        <v>121</v>
      </c>
      <c r="C41" s="185">
        <v>17361214.93</v>
      </c>
      <c r="D41" s="185">
        <v>29905176.190000001</v>
      </c>
      <c r="E41" s="138">
        <v>47266391.120000005</v>
      </c>
      <c r="F41" s="185">
        <v>639646</v>
      </c>
      <c r="G41" s="185">
        <v>957725</v>
      </c>
      <c r="H41" s="185">
        <v>19876059.370000005</v>
      </c>
      <c r="I41" s="425">
        <v>28800</v>
      </c>
      <c r="J41" s="425"/>
      <c r="K41" s="425"/>
      <c r="L41" s="425"/>
      <c r="M41" s="140">
        <v>21502230.370000005</v>
      </c>
      <c r="N41" s="140">
        <f t="shared" si="0"/>
        <v>68768621.49000001</v>
      </c>
      <c r="O41" s="185">
        <v>19825621.780000001</v>
      </c>
      <c r="P41" s="185">
        <v>6392709.459999999</v>
      </c>
      <c r="Q41" s="251">
        <f t="shared" si="1"/>
        <v>26218331.240000002</v>
      </c>
      <c r="R41" s="185">
        <v>1678396</v>
      </c>
      <c r="S41" s="185">
        <v>503532.6</v>
      </c>
      <c r="T41" s="185">
        <v>271365667.79000002</v>
      </c>
      <c r="U41" s="185"/>
      <c r="V41" s="185"/>
      <c r="W41" s="9"/>
      <c r="X41" s="424"/>
      <c r="Y41" s="424"/>
      <c r="Z41" s="424">
        <v>99957</v>
      </c>
      <c r="AA41" s="571">
        <f t="shared" si="2"/>
        <v>273647553.39000005</v>
      </c>
      <c r="AB41" s="140">
        <f t="shared" si="6"/>
        <v>299865884.63000005</v>
      </c>
      <c r="AC41" s="115">
        <f t="shared" si="3"/>
        <v>-44.530710683121853</v>
      </c>
      <c r="AD41" s="115">
        <f t="shared" si="4"/>
        <v>1172.647296030249</v>
      </c>
      <c r="AE41" s="115">
        <f t="shared" ref="AE41:AE72" si="7">(((AB41-N41)/N41)*100)</f>
        <v>336.05045169271722</v>
      </c>
      <c r="AF41" s="226"/>
    </row>
    <row r="42" spans="1:32" ht="20.45" customHeight="1">
      <c r="A42" s="135" t="s">
        <v>122</v>
      </c>
      <c r="B42" s="136" t="s">
        <v>123</v>
      </c>
      <c r="C42" s="185">
        <v>24686990.960000005</v>
      </c>
      <c r="D42" s="185">
        <v>389214.77</v>
      </c>
      <c r="E42" s="138">
        <v>25076205.730000004</v>
      </c>
      <c r="F42" s="185">
        <v>60000</v>
      </c>
      <c r="G42" s="185">
        <v>1530396.3</v>
      </c>
      <c r="H42" s="185">
        <v>18600962.899999999</v>
      </c>
      <c r="I42" s="425"/>
      <c r="J42" s="425"/>
      <c r="K42" s="425"/>
      <c r="L42" s="425"/>
      <c r="M42" s="140">
        <v>20191359.199999999</v>
      </c>
      <c r="N42" s="140">
        <f t="shared" si="0"/>
        <v>45267564.930000007</v>
      </c>
      <c r="O42" s="185">
        <v>24677389.860000003</v>
      </c>
      <c r="P42" s="185">
        <v>170362.46999999997</v>
      </c>
      <c r="Q42" s="251">
        <f t="shared" si="1"/>
        <v>24847752.330000002</v>
      </c>
      <c r="R42" s="185">
        <v>4491405</v>
      </c>
      <c r="S42" s="185">
        <v>1431591</v>
      </c>
      <c r="T42" s="185">
        <v>719513819.49000001</v>
      </c>
      <c r="U42" s="9"/>
      <c r="V42" s="9"/>
      <c r="W42" s="9"/>
      <c r="X42" s="424"/>
      <c r="Y42" s="424"/>
      <c r="Z42" s="424"/>
      <c r="AA42" s="571">
        <f t="shared" si="2"/>
        <v>725436815.49000001</v>
      </c>
      <c r="AB42" s="140">
        <f t="shared" si="6"/>
        <v>750284567.82000005</v>
      </c>
      <c r="AC42" s="115">
        <f t="shared" si="3"/>
        <v>-0.91103655178060383</v>
      </c>
      <c r="AD42" s="115">
        <f t="shared" si="4"/>
        <v>3492.808231998567</v>
      </c>
      <c r="AE42" s="115">
        <f t="shared" si="7"/>
        <v>1557.444063934543</v>
      </c>
      <c r="AF42" s="226"/>
    </row>
    <row r="43" spans="1:32" ht="20.45" customHeight="1">
      <c r="A43" s="135" t="s">
        <v>124</v>
      </c>
      <c r="B43" s="136" t="s">
        <v>125</v>
      </c>
      <c r="C43" s="185">
        <v>24576694.300000004</v>
      </c>
      <c r="D43" s="185">
        <v>9965119.6600000001</v>
      </c>
      <c r="E43" s="138">
        <v>34541813.960000008</v>
      </c>
      <c r="F43" s="185">
        <v>551668</v>
      </c>
      <c r="G43" s="185">
        <v>172805</v>
      </c>
      <c r="H43" s="185">
        <v>27211090.789999999</v>
      </c>
      <c r="I43" s="425"/>
      <c r="J43" s="425"/>
      <c r="K43" s="425"/>
      <c r="L43" s="425"/>
      <c r="M43" s="140">
        <v>27935563.789999999</v>
      </c>
      <c r="N43" s="140">
        <f t="shared" si="0"/>
        <v>62477377.750000007</v>
      </c>
      <c r="O43" s="185">
        <v>24985315.330000002</v>
      </c>
      <c r="P43" s="185">
        <v>2874881.48</v>
      </c>
      <c r="Q43" s="251">
        <f t="shared" si="1"/>
        <v>27860196.810000002</v>
      </c>
      <c r="R43" s="185">
        <v>151893</v>
      </c>
      <c r="S43" s="185">
        <v>256140</v>
      </c>
      <c r="T43" s="185">
        <v>52710348.690000013</v>
      </c>
      <c r="U43" s="9"/>
      <c r="V43" s="9"/>
      <c r="W43" s="9"/>
      <c r="X43" s="424"/>
      <c r="Y43" s="424"/>
      <c r="Z43" s="424"/>
      <c r="AA43" s="571">
        <f t="shared" si="2"/>
        <v>53118381.690000013</v>
      </c>
      <c r="AB43" s="140">
        <f t="shared" si="6"/>
        <v>80978578.500000015</v>
      </c>
      <c r="AC43" s="115">
        <f t="shared" si="3"/>
        <v>-19.343561857340291</v>
      </c>
      <c r="AD43" s="115">
        <f t="shared" si="4"/>
        <v>90.146087937608129</v>
      </c>
      <c r="AE43" s="115">
        <f t="shared" si="7"/>
        <v>29.612639672605347</v>
      </c>
      <c r="AF43" s="226"/>
    </row>
    <row r="44" spans="1:32" ht="20.45" customHeight="1">
      <c r="A44" s="135" t="s">
        <v>126</v>
      </c>
      <c r="B44" s="136" t="s">
        <v>127</v>
      </c>
      <c r="C44" s="185">
        <v>15566097.66</v>
      </c>
      <c r="D44" s="185">
        <v>2525431.4199999995</v>
      </c>
      <c r="E44" s="138">
        <v>18091529.079999998</v>
      </c>
      <c r="F44" s="185">
        <v>2686380</v>
      </c>
      <c r="G44" s="185">
        <v>685351.1</v>
      </c>
      <c r="H44" s="185">
        <v>14479061.609999999</v>
      </c>
      <c r="I44" s="425"/>
      <c r="J44" s="425"/>
      <c r="K44" s="425"/>
      <c r="L44" s="425"/>
      <c r="M44" s="140">
        <v>17850792.710000001</v>
      </c>
      <c r="N44" s="140">
        <f t="shared" si="0"/>
        <v>35942321.789999999</v>
      </c>
      <c r="O44" s="185">
        <v>18807585.170000002</v>
      </c>
      <c r="P44" s="185">
        <v>9250786.3399999999</v>
      </c>
      <c r="Q44" s="251">
        <f t="shared" si="1"/>
        <v>28058371.510000002</v>
      </c>
      <c r="R44" s="185">
        <v>1918326</v>
      </c>
      <c r="S44" s="185">
        <v>1333594</v>
      </c>
      <c r="T44" s="185">
        <v>23845496.91</v>
      </c>
      <c r="U44" s="9"/>
      <c r="V44" s="9"/>
      <c r="W44" s="9"/>
      <c r="X44" s="424"/>
      <c r="Y44" s="424"/>
      <c r="Z44" s="424"/>
      <c r="AA44" s="571">
        <f t="shared" si="2"/>
        <v>27097416.91</v>
      </c>
      <c r="AB44" s="140">
        <f t="shared" si="6"/>
        <v>55155788.420000002</v>
      </c>
      <c r="AC44" s="115">
        <f t="shared" si="3"/>
        <v>55.091210841974913</v>
      </c>
      <c r="AD44" s="115">
        <f t="shared" si="4"/>
        <v>51.79951585466592</v>
      </c>
      <c r="AE44" s="115">
        <f t="shared" si="7"/>
        <v>53.456386992076965</v>
      </c>
      <c r="AF44" s="226"/>
    </row>
    <row r="45" spans="1:32" ht="20.45" customHeight="1">
      <c r="A45" s="135" t="s">
        <v>128</v>
      </c>
      <c r="B45" s="136" t="s">
        <v>129</v>
      </c>
      <c r="C45" s="185">
        <v>14806624.550000001</v>
      </c>
      <c r="D45" s="185">
        <v>3832380.6100000003</v>
      </c>
      <c r="E45" s="138">
        <v>18639005.16</v>
      </c>
      <c r="F45" s="185">
        <v>105050</v>
      </c>
      <c r="G45" s="185">
        <v>891000.65</v>
      </c>
      <c r="H45" s="185">
        <v>15929540.260000002</v>
      </c>
      <c r="I45" s="425">
        <v>120000</v>
      </c>
      <c r="J45" s="425"/>
      <c r="K45" s="425"/>
      <c r="L45" s="425">
        <v>77649</v>
      </c>
      <c r="M45" s="140">
        <v>17123239.91</v>
      </c>
      <c r="N45" s="140">
        <f t="shared" si="0"/>
        <v>35762245.07</v>
      </c>
      <c r="O45" s="185">
        <v>15292633.820000002</v>
      </c>
      <c r="P45" s="185">
        <v>3767404.29</v>
      </c>
      <c r="Q45" s="251">
        <f t="shared" si="1"/>
        <v>19060038.110000003</v>
      </c>
      <c r="R45" s="185">
        <v>732446.75</v>
      </c>
      <c r="S45" s="185">
        <v>559353.75</v>
      </c>
      <c r="T45" s="185">
        <v>57883750.150000021</v>
      </c>
      <c r="U45" s="185">
        <v>99600</v>
      </c>
      <c r="V45" s="185"/>
      <c r="W45" s="9"/>
      <c r="X45" s="424"/>
      <c r="Y45" s="424"/>
      <c r="Z45" s="112">
        <v>4500</v>
      </c>
      <c r="AA45" s="571">
        <f t="shared" si="2"/>
        <v>59279650.650000021</v>
      </c>
      <c r="AB45" s="140">
        <f t="shared" si="6"/>
        <v>78339688.76000002</v>
      </c>
      <c r="AC45" s="115">
        <f t="shared" si="3"/>
        <v>2.2588810206649623</v>
      </c>
      <c r="AD45" s="115">
        <f t="shared" si="4"/>
        <v>246.19412542004162</v>
      </c>
      <c r="AE45" s="115">
        <f t="shared" si="7"/>
        <v>119.05696526227629</v>
      </c>
      <c r="AF45" s="226"/>
    </row>
    <row r="46" spans="1:32" ht="20.45" customHeight="1">
      <c r="A46" s="135" t="s">
        <v>130</v>
      </c>
      <c r="B46" s="136" t="s">
        <v>131</v>
      </c>
      <c r="C46" s="185">
        <v>15911032.450000001</v>
      </c>
      <c r="D46" s="185">
        <v>1827329.0199999998</v>
      </c>
      <c r="E46" s="138">
        <v>17738361.470000003</v>
      </c>
      <c r="F46" s="185">
        <v>2673565</v>
      </c>
      <c r="G46" s="185">
        <v>653578.82999999996</v>
      </c>
      <c r="H46" s="185">
        <v>17901336.420000002</v>
      </c>
      <c r="I46" s="425"/>
      <c r="J46" s="425"/>
      <c r="K46" s="425"/>
      <c r="L46" s="425"/>
      <c r="M46" s="140">
        <v>21228480.25</v>
      </c>
      <c r="N46" s="140">
        <f t="shared" si="0"/>
        <v>38966841.719999999</v>
      </c>
      <c r="O46" s="185">
        <v>16577781.239999996</v>
      </c>
      <c r="P46" s="185">
        <v>3459070.2499999995</v>
      </c>
      <c r="Q46" s="251">
        <f t="shared" si="1"/>
        <v>20036851.489999995</v>
      </c>
      <c r="R46" s="185">
        <v>5210375</v>
      </c>
      <c r="S46" s="185">
        <v>2049074</v>
      </c>
      <c r="T46" s="185">
        <v>388092224.52000004</v>
      </c>
      <c r="U46" s="9"/>
      <c r="V46" s="9"/>
      <c r="W46" s="9"/>
      <c r="X46" s="424"/>
      <c r="Y46" s="424"/>
      <c r="Z46" s="424"/>
      <c r="AA46" s="571">
        <f t="shared" si="2"/>
        <v>395351673.52000004</v>
      </c>
      <c r="AB46" s="140">
        <f t="shared" si="6"/>
        <v>415388525.01000005</v>
      </c>
      <c r="AC46" s="115">
        <f t="shared" si="3"/>
        <v>12.957735830828076</v>
      </c>
      <c r="AD46" s="115">
        <f t="shared" si="4"/>
        <v>1762.3644691663692</v>
      </c>
      <c r="AE46" s="115">
        <f t="shared" si="7"/>
        <v>966.0051127438411</v>
      </c>
      <c r="AF46" s="226"/>
    </row>
    <row r="47" spans="1:32" ht="20.45" customHeight="1">
      <c r="A47" s="135" t="s">
        <v>132</v>
      </c>
      <c r="B47" s="136" t="s">
        <v>133</v>
      </c>
      <c r="C47" s="185">
        <v>19609064.270000003</v>
      </c>
      <c r="D47" s="185">
        <v>5973936.2300000004</v>
      </c>
      <c r="E47" s="138">
        <v>25583000.500000004</v>
      </c>
      <c r="F47" s="185">
        <v>2601850</v>
      </c>
      <c r="G47" s="185">
        <v>376237.5</v>
      </c>
      <c r="H47" s="185">
        <v>18702521.479999997</v>
      </c>
      <c r="I47" s="425"/>
      <c r="J47" s="425"/>
      <c r="K47" s="425"/>
      <c r="L47" s="112"/>
      <c r="M47" s="140">
        <v>21680608.979999997</v>
      </c>
      <c r="N47" s="140">
        <f t="shared" si="0"/>
        <v>47263609.480000004</v>
      </c>
      <c r="O47" s="185">
        <v>21615429.430000007</v>
      </c>
      <c r="P47" s="185">
        <v>3732801.04</v>
      </c>
      <c r="Q47" s="251">
        <f t="shared" si="1"/>
        <v>25348230.470000006</v>
      </c>
      <c r="R47" s="185">
        <v>2449709</v>
      </c>
      <c r="S47" s="185">
        <v>67046</v>
      </c>
      <c r="T47" s="185">
        <v>57671272.349999987</v>
      </c>
      <c r="U47" s="9"/>
      <c r="V47" s="9"/>
      <c r="W47" s="9"/>
      <c r="X47" s="424">
        <v>110600</v>
      </c>
      <c r="Y47" s="424"/>
      <c r="Z47" s="424"/>
      <c r="AA47" s="571">
        <f t="shared" si="2"/>
        <v>60298627.349999987</v>
      </c>
      <c r="AB47" s="140">
        <f t="shared" si="6"/>
        <v>85646857.819999993</v>
      </c>
      <c r="AC47" s="115">
        <f t="shared" si="3"/>
        <v>-0.91767980851189623</v>
      </c>
      <c r="AD47" s="115">
        <f t="shared" si="4"/>
        <v>178.12238763968517</v>
      </c>
      <c r="AE47" s="115">
        <f t="shared" si="7"/>
        <v>81.210996710359552</v>
      </c>
      <c r="AF47" s="226"/>
    </row>
    <row r="48" spans="1:32" ht="20.45" customHeight="1">
      <c r="A48" s="135" t="s">
        <v>134</v>
      </c>
      <c r="B48" s="136" t="s">
        <v>135</v>
      </c>
      <c r="C48" s="185">
        <v>14019619.700000001</v>
      </c>
      <c r="D48" s="185">
        <v>7533622.620000001</v>
      </c>
      <c r="E48" s="138">
        <v>21553242.32</v>
      </c>
      <c r="F48" s="185">
        <v>1428990</v>
      </c>
      <c r="G48" s="185">
        <v>481564</v>
      </c>
      <c r="H48" s="185">
        <v>50508626.910000004</v>
      </c>
      <c r="I48" s="425"/>
      <c r="J48" s="425"/>
      <c r="K48" s="425"/>
      <c r="L48" s="425"/>
      <c r="M48" s="140">
        <v>52419180.910000004</v>
      </c>
      <c r="N48" s="140">
        <f t="shared" si="0"/>
        <v>73972423.230000004</v>
      </c>
      <c r="O48" s="185">
        <v>16911170.049999997</v>
      </c>
      <c r="P48" s="185">
        <v>10085909.409999998</v>
      </c>
      <c r="Q48" s="251">
        <f t="shared" si="1"/>
        <v>26997079.459999993</v>
      </c>
      <c r="R48" s="185">
        <v>1593435</v>
      </c>
      <c r="S48" s="185">
        <v>209852.93</v>
      </c>
      <c r="T48" s="185">
        <v>540884749.53000009</v>
      </c>
      <c r="U48" s="9"/>
      <c r="V48" s="9"/>
      <c r="W48" s="9"/>
      <c r="X48" s="424"/>
      <c r="Y48" s="424"/>
      <c r="Z48" s="424"/>
      <c r="AA48" s="571">
        <f t="shared" si="2"/>
        <v>542688037.46000004</v>
      </c>
      <c r="AB48" s="140">
        <f t="shared" si="6"/>
        <v>569685116.92000008</v>
      </c>
      <c r="AC48" s="115">
        <f t="shared" si="3"/>
        <v>25.257625090348789</v>
      </c>
      <c r="AD48" s="115">
        <f t="shared" si="4"/>
        <v>935.28522964095282</v>
      </c>
      <c r="AE48" s="115">
        <f t="shared" si="7"/>
        <v>670.13174916373498</v>
      </c>
      <c r="AF48" s="226"/>
    </row>
    <row r="49" spans="1:32" ht="20.45" customHeight="1">
      <c r="A49" s="135" t="s">
        <v>136</v>
      </c>
      <c r="B49" s="136" t="s">
        <v>137</v>
      </c>
      <c r="C49" s="185">
        <v>14986153.559999997</v>
      </c>
      <c r="D49" s="185">
        <v>6191129.3200000012</v>
      </c>
      <c r="E49" s="138">
        <v>21177282.879999999</v>
      </c>
      <c r="F49" s="185">
        <v>1895255</v>
      </c>
      <c r="G49" s="185">
        <v>478931</v>
      </c>
      <c r="H49" s="185">
        <v>19267920.359999999</v>
      </c>
      <c r="I49" s="114"/>
      <c r="J49" s="114"/>
      <c r="K49" s="425"/>
      <c r="L49" s="425"/>
      <c r="M49" s="140">
        <v>21642106.359999999</v>
      </c>
      <c r="N49" s="140">
        <f t="shared" si="0"/>
        <v>42819389.239999995</v>
      </c>
      <c r="O49" s="185">
        <v>16417509.729999999</v>
      </c>
      <c r="P49" s="185">
        <v>7138765.4499999993</v>
      </c>
      <c r="Q49" s="251">
        <f t="shared" si="1"/>
        <v>23556275.18</v>
      </c>
      <c r="R49" s="185">
        <v>3615744</v>
      </c>
      <c r="S49" s="185">
        <v>1190967</v>
      </c>
      <c r="T49" s="185">
        <v>66372485.869999997</v>
      </c>
      <c r="U49" s="9"/>
      <c r="V49" s="9"/>
      <c r="W49" s="9"/>
      <c r="X49" s="424"/>
      <c r="Y49" s="424"/>
      <c r="Z49" s="424">
        <v>17075659</v>
      </c>
      <c r="AA49" s="571">
        <f t="shared" si="2"/>
        <v>88254855.870000005</v>
      </c>
      <c r="AB49" s="140">
        <f t="shared" si="6"/>
        <v>111811131.05000001</v>
      </c>
      <c r="AC49" s="115">
        <f t="shared" si="3"/>
        <v>11.233699400817565</v>
      </c>
      <c r="AD49" s="115">
        <f t="shared" si="4"/>
        <v>307.79235810945352</v>
      </c>
      <c r="AE49" s="115">
        <f t="shared" si="7"/>
        <v>161.12266670434187</v>
      </c>
      <c r="AF49" s="226"/>
    </row>
    <row r="50" spans="1:32" ht="20.45" customHeight="1">
      <c r="A50" s="135" t="s">
        <v>138</v>
      </c>
      <c r="B50" s="136" t="s">
        <v>139</v>
      </c>
      <c r="C50" s="185">
        <v>14326994.449999997</v>
      </c>
      <c r="D50" s="185">
        <v>2786229.33</v>
      </c>
      <c r="E50" s="138">
        <v>17113223.779999997</v>
      </c>
      <c r="F50" s="185"/>
      <c r="G50" s="185">
        <v>296804</v>
      </c>
      <c r="H50" s="185">
        <v>29247174.099999994</v>
      </c>
      <c r="I50" s="114"/>
      <c r="J50" s="114"/>
      <c r="K50" s="425"/>
      <c r="L50" s="425">
        <v>66930</v>
      </c>
      <c r="M50" s="140">
        <v>29610908.099999994</v>
      </c>
      <c r="N50" s="140">
        <f t="shared" si="0"/>
        <v>46724131.879999995</v>
      </c>
      <c r="O50" s="185">
        <v>16850215.090000004</v>
      </c>
      <c r="P50" s="185">
        <v>29467982.940000001</v>
      </c>
      <c r="Q50" s="251">
        <f t="shared" si="1"/>
        <v>46318198.030000001</v>
      </c>
      <c r="R50" s="9">
        <v>122950</v>
      </c>
      <c r="S50" s="185">
        <v>426226</v>
      </c>
      <c r="T50" s="185">
        <v>69723496.679999977</v>
      </c>
      <c r="U50" s="9"/>
      <c r="V50" s="9"/>
      <c r="W50" s="9"/>
      <c r="X50" s="424"/>
      <c r="Y50" s="424"/>
      <c r="Z50" s="112"/>
      <c r="AA50" s="571">
        <f t="shared" si="2"/>
        <v>70272672.679999977</v>
      </c>
      <c r="AB50" s="140">
        <f t="shared" si="6"/>
        <v>116590870.70999998</v>
      </c>
      <c r="AC50" s="115">
        <f t="shared" si="3"/>
        <v>170.65735027745899</v>
      </c>
      <c r="AD50" s="115">
        <f t="shared" si="4"/>
        <v>137.32022146257646</v>
      </c>
      <c r="AE50" s="115">
        <f t="shared" si="7"/>
        <v>149.53030911186613</v>
      </c>
      <c r="AF50" s="226"/>
    </row>
    <row r="51" spans="1:32" ht="20.45" customHeight="1">
      <c r="A51" s="135" t="s">
        <v>140</v>
      </c>
      <c r="B51" s="136" t="s">
        <v>141</v>
      </c>
      <c r="C51" s="185">
        <v>16644709.230000002</v>
      </c>
      <c r="D51" s="185">
        <v>2082241.2600000002</v>
      </c>
      <c r="E51" s="138">
        <v>18726950.490000002</v>
      </c>
      <c r="F51" s="185">
        <v>24913</v>
      </c>
      <c r="G51" s="185">
        <v>426536.4</v>
      </c>
      <c r="H51" s="185">
        <v>21002963.23</v>
      </c>
      <c r="I51" s="114"/>
      <c r="J51" s="114"/>
      <c r="K51" s="425"/>
      <c r="L51" s="425"/>
      <c r="M51" s="140">
        <v>21454412.629999999</v>
      </c>
      <c r="N51" s="140">
        <f t="shared" si="0"/>
        <v>40181363.120000005</v>
      </c>
      <c r="O51" s="185">
        <v>17949818.559999991</v>
      </c>
      <c r="P51" s="185">
        <v>9149842.8000000026</v>
      </c>
      <c r="Q51" s="251">
        <f t="shared" si="1"/>
        <v>27099661.359999992</v>
      </c>
      <c r="R51" s="185">
        <v>4588920</v>
      </c>
      <c r="S51" s="185">
        <v>437866</v>
      </c>
      <c r="T51" s="185">
        <v>121270834.65000001</v>
      </c>
      <c r="U51" s="9"/>
      <c r="V51" s="9"/>
      <c r="W51" s="9"/>
      <c r="X51" s="424"/>
      <c r="Y51" s="424"/>
      <c r="Z51" s="424"/>
      <c r="AA51" s="571">
        <f t="shared" si="2"/>
        <v>126297620.65000001</v>
      </c>
      <c r="AB51" s="140">
        <f t="shared" si="6"/>
        <v>153397282.00999999</v>
      </c>
      <c r="AC51" s="115">
        <f t="shared" si="3"/>
        <v>44.709419584736608</v>
      </c>
      <c r="AD51" s="115">
        <f t="shared" si="4"/>
        <v>488.67899498397975</v>
      </c>
      <c r="AE51" s="115">
        <f t="shared" si="7"/>
        <v>281.76226513741022</v>
      </c>
      <c r="AF51" s="226"/>
    </row>
    <row r="52" spans="1:32" ht="20.45" customHeight="1">
      <c r="A52" s="135" t="s">
        <v>142</v>
      </c>
      <c r="B52" s="136" t="s">
        <v>143</v>
      </c>
      <c r="C52" s="185">
        <v>31199908.370000001</v>
      </c>
      <c r="D52" s="185">
        <v>4958740.9699999988</v>
      </c>
      <c r="E52" s="138">
        <v>36158649.340000004</v>
      </c>
      <c r="F52" s="185">
        <v>2020630</v>
      </c>
      <c r="G52" s="185">
        <v>2398347.48</v>
      </c>
      <c r="H52" s="185">
        <v>44880263.899999991</v>
      </c>
      <c r="I52" s="114"/>
      <c r="J52" s="114"/>
      <c r="K52" s="425"/>
      <c r="L52" s="425"/>
      <c r="M52" s="140">
        <v>49299241.379999995</v>
      </c>
      <c r="N52" s="140">
        <f t="shared" si="0"/>
        <v>85457890.719999999</v>
      </c>
      <c r="O52" s="185">
        <v>31547778.210000001</v>
      </c>
      <c r="P52" s="185">
        <v>3126410.7300000004</v>
      </c>
      <c r="Q52" s="251">
        <f t="shared" si="1"/>
        <v>34674188.939999998</v>
      </c>
      <c r="R52" s="185">
        <v>1079108</v>
      </c>
      <c r="S52" s="185">
        <v>1201363</v>
      </c>
      <c r="T52" s="185">
        <v>922842238.57000065</v>
      </c>
      <c r="U52" s="9"/>
      <c r="V52" s="9"/>
      <c r="W52" s="9"/>
      <c r="X52" s="424"/>
      <c r="Y52" s="424"/>
      <c r="Z52" s="424"/>
      <c r="AA52" s="571">
        <f t="shared" si="2"/>
        <v>925122709.57000065</v>
      </c>
      <c r="AB52" s="140">
        <f t="shared" si="6"/>
        <v>959796898.51000071</v>
      </c>
      <c r="AC52" s="115">
        <f t="shared" si="3"/>
        <v>-4.1054088775319446</v>
      </c>
      <c r="AD52" s="115">
        <f t="shared" si="4"/>
        <v>1776.5455282346593</v>
      </c>
      <c r="AE52" s="115">
        <f t="shared" si="7"/>
        <v>1023.1226167923381</v>
      </c>
      <c r="AF52" s="226"/>
    </row>
    <row r="53" spans="1:32" ht="20.45" customHeight="1">
      <c r="A53" s="135" t="s">
        <v>144</v>
      </c>
      <c r="B53" s="136" t="s">
        <v>145</v>
      </c>
      <c r="C53" s="185">
        <v>19138457.740000006</v>
      </c>
      <c r="D53" s="185">
        <v>1782002.9200000002</v>
      </c>
      <c r="E53" s="138">
        <v>20920460.660000008</v>
      </c>
      <c r="F53" s="185">
        <v>1220985</v>
      </c>
      <c r="G53" s="185">
        <v>785885</v>
      </c>
      <c r="H53" s="185">
        <v>8670229.8699999992</v>
      </c>
      <c r="I53" s="114"/>
      <c r="J53" s="114"/>
      <c r="K53" s="425"/>
      <c r="L53" s="425">
        <v>24900</v>
      </c>
      <c r="M53" s="140">
        <v>10701999.869999999</v>
      </c>
      <c r="N53" s="140">
        <f t="shared" si="0"/>
        <v>31622460.530000009</v>
      </c>
      <c r="O53" s="185">
        <v>20386033.699999999</v>
      </c>
      <c r="P53" s="185">
        <v>1535253.66</v>
      </c>
      <c r="Q53" s="251">
        <f t="shared" si="1"/>
        <v>21921287.359999999</v>
      </c>
      <c r="R53" s="185">
        <v>1923985</v>
      </c>
      <c r="S53" s="185">
        <v>616347</v>
      </c>
      <c r="T53" s="185">
        <v>33266849.68</v>
      </c>
      <c r="U53" s="9"/>
      <c r="V53" s="9"/>
      <c r="W53" s="9"/>
      <c r="X53" s="424">
        <v>281250</v>
      </c>
      <c r="Y53" s="424"/>
      <c r="Z53" s="112"/>
      <c r="AA53" s="571">
        <f t="shared" si="2"/>
        <v>36088431.68</v>
      </c>
      <c r="AB53" s="140">
        <f t="shared" si="6"/>
        <v>58009719.039999999</v>
      </c>
      <c r="AC53" s="115">
        <f t="shared" si="3"/>
        <v>4.7839611004052882</v>
      </c>
      <c r="AD53" s="115">
        <f t="shared" si="4"/>
        <v>237.21203623972764</v>
      </c>
      <c r="AE53" s="115">
        <f t="shared" si="7"/>
        <v>83.444672134119926</v>
      </c>
      <c r="AF53" s="226"/>
    </row>
    <row r="54" spans="1:32" ht="20.45" customHeight="1">
      <c r="A54" s="135" t="s">
        <v>146</v>
      </c>
      <c r="B54" s="136" t="s">
        <v>147</v>
      </c>
      <c r="C54" s="185">
        <v>20640877.749999996</v>
      </c>
      <c r="D54" s="185">
        <v>1161744.2200000002</v>
      </c>
      <c r="E54" s="138">
        <v>21802621.969999995</v>
      </c>
      <c r="F54" s="185">
        <v>745620</v>
      </c>
      <c r="G54" s="185">
        <v>765379.48</v>
      </c>
      <c r="H54" s="185">
        <v>19955160.699999999</v>
      </c>
      <c r="I54" s="114"/>
      <c r="J54" s="114"/>
      <c r="K54" s="425"/>
      <c r="L54" s="112">
        <v>41954</v>
      </c>
      <c r="M54" s="140">
        <v>21508114.18</v>
      </c>
      <c r="N54" s="140">
        <f t="shared" si="0"/>
        <v>43310736.149999991</v>
      </c>
      <c r="O54" s="185">
        <v>19136358.890000001</v>
      </c>
      <c r="P54" s="185">
        <v>1243083.3400000001</v>
      </c>
      <c r="Q54" s="251">
        <f t="shared" si="1"/>
        <v>20379442.23</v>
      </c>
      <c r="R54" s="185">
        <v>2525060</v>
      </c>
      <c r="S54" s="185">
        <v>606840</v>
      </c>
      <c r="T54" s="185">
        <v>31191444.890000004</v>
      </c>
      <c r="U54" s="9"/>
      <c r="V54" s="9"/>
      <c r="W54" s="9"/>
      <c r="X54" s="424"/>
      <c r="Y54" s="424"/>
      <c r="Z54" s="112">
        <v>50300</v>
      </c>
      <c r="AA54" s="571">
        <f t="shared" si="2"/>
        <v>34373644.890000001</v>
      </c>
      <c r="AB54" s="140">
        <f t="shared" si="6"/>
        <v>54753087.120000005</v>
      </c>
      <c r="AC54" s="115">
        <f t="shared" si="3"/>
        <v>-6.5275623361183976</v>
      </c>
      <c r="AD54" s="115">
        <f t="shared" si="4"/>
        <v>59.817102523862467</v>
      </c>
      <c r="AE54" s="115">
        <f t="shared" si="7"/>
        <v>26.419202228221689</v>
      </c>
      <c r="AF54" s="226"/>
    </row>
    <row r="55" spans="1:32" ht="20.45" customHeight="1">
      <c r="A55" s="135" t="s">
        <v>148</v>
      </c>
      <c r="B55" s="136" t="s">
        <v>149</v>
      </c>
      <c r="C55" s="185">
        <v>18057121.270000003</v>
      </c>
      <c r="D55" s="185">
        <v>9600213.7400000002</v>
      </c>
      <c r="E55" s="138">
        <v>27657335.010000005</v>
      </c>
      <c r="F55" s="185">
        <v>1679970</v>
      </c>
      <c r="G55" s="185">
        <v>891943</v>
      </c>
      <c r="H55" s="185">
        <v>11847665.91</v>
      </c>
      <c r="I55" s="114"/>
      <c r="J55" s="114"/>
      <c r="K55" s="425">
        <v>2</v>
      </c>
      <c r="L55" s="112">
        <v>2070000</v>
      </c>
      <c r="M55" s="140">
        <v>16489580.91</v>
      </c>
      <c r="N55" s="140">
        <f t="shared" si="0"/>
        <v>44146915.920000002</v>
      </c>
      <c r="O55" s="185">
        <v>18704573.469999999</v>
      </c>
      <c r="P55" s="185">
        <v>9899665.6999999993</v>
      </c>
      <c r="Q55" s="251">
        <f t="shared" si="1"/>
        <v>28604239.169999998</v>
      </c>
      <c r="R55" s="185">
        <v>2568032.6</v>
      </c>
      <c r="S55" s="185">
        <v>356489</v>
      </c>
      <c r="T55" s="185">
        <v>19806676.879999999</v>
      </c>
      <c r="U55" s="9"/>
      <c r="V55" s="9"/>
      <c r="W55" s="9"/>
      <c r="X55" s="112">
        <v>0</v>
      </c>
      <c r="Y55" s="112"/>
      <c r="Z55" s="112"/>
      <c r="AA55" s="571">
        <f t="shared" si="2"/>
        <v>22731198.48</v>
      </c>
      <c r="AB55" s="140">
        <f t="shared" si="6"/>
        <v>51335437.649999999</v>
      </c>
      <c r="AC55" s="115">
        <f t="shared" si="3"/>
        <v>3.4236999322516883</v>
      </c>
      <c r="AD55" s="115">
        <f t="shared" si="4"/>
        <v>37.851887225434652</v>
      </c>
      <c r="AE55" s="115">
        <f t="shared" si="7"/>
        <v>16.283179878355579</v>
      </c>
      <c r="AF55" s="226"/>
    </row>
    <row r="56" spans="1:32" ht="20.45" customHeight="1">
      <c r="A56" s="135" t="s">
        <v>150</v>
      </c>
      <c r="B56" s="136" t="s">
        <v>151</v>
      </c>
      <c r="C56" s="185">
        <v>15719844.249999996</v>
      </c>
      <c r="D56" s="185">
        <v>37195289.25999999</v>
      </c>
      <c r="E56" s="138">
        <v>52915133.50999999</v>
      </c>
      <c r="F56" s="185">
        <v>1896612</v>
      </c>
      <c r="G56" s="185">
        <v>583473</v>
      </c>
      <c r="H56" s="185">
        <v>12428992.680000002</v>
      </c>
      <c r="I56" s="114"/>
      <c r="J56" s="114"/>
      <c r="K56" s="425">
        <v>0</v>
      </c>
      <c r="L56" s="425"/>
      <c r="M56" s="140">
        <v>14909077.680000002</v>
      </c>
      <c r="N56" s="140">
        <f t="shared" si="0"/>
        <v>67824211.189999998</v>
      </c>
      <c r="O56" s="185">
        <v>17616991.899999999</v>
      </c>
      <c r="P56" s="185">
        <v>56939153.810000002</v>
      </c>
      <c r="Q56" s="251">
        <f t="shared" si="1"/>
        <v>74556145.710000008</v>
      </c>
      <c r="R56" s="185">
        <v>4770503</v>
      </c>
      <c r="S56" s="185">
        <v>362252</v>
      </c>
      <c r="T56" s="185">
        <v>82004794.719999999</v>
      </c>
      <c r="U56" s="9"/>
      <c r="V56" s="9"/>
      <c r="W56" s="9"/>
      <c r="X56" s="112">
        <v>8958688.5199999996</v>
      </c>
      <c r="Y56" s="112"/>
      <c r="Z56" s="424"/>
      <c r="AA56" s="571">
        <f t="shared" si="2"/>
        <v>96096238.239999995</v>
      </c>
      <c r="AB56" s="140">
        <f t="shared" si="6"/>
        <v>170652383.94999999</v>
      </c>
      <c r="AC56" s="115">
        <f t="shared" si="3"/>
        <v>40.897585935241501</v>
      </c>
      <c r="AD56" s="115">
        <f t="shared" si="4"/>
        <v>544.54851133353259</v>
      </c>
      <c r="AE56" s="115">
        <f t="shared" si="7"/>
        <v>151.60983217621407</v>
      </c>
      <c r="AF56" s="226"/>
    </row>
    <row r="57" spans="1:32" ht="20.45" customHeight="1">
      <c r="A57" s="135" t="s">
        <v>152</v>
      </c>
      <c r="B57" s="136" t="s">
        <v>153</v>
      </c>
      <c r="C57" s="185">
        <v>17122219.91</v>
      </c>
      <c r="D57" s="185">
        <v>2885595.100000001</v>
      </c>
      <c r="E57" s="138">
        <v>20007815.010000002</v>
      </c>
      <c r="F57" s="185">
        <v>2734129</v>
      </c>
      <c r="G57" s="185">
        <v>582837.44999999995</v>
      </c>
      <c r="H57" s="185">
        <v>13226584.709999999</v>
      </c>
      <c r="I57" s="114"/>
      <c r="J57" s="114"/>
      <c r="K57" s="425"/>
      <c r="L57" s="112"/>
      <c r="M57" s="140">
        <v>16543551.16</v>
      </c>
      <c r="N57" s="140">
        <f t="shared" si="0"/>
        <v>36551366.170000002</v>
      </c>
      <c r="O57" s="185">
        <v>17762423.709999997</v>
      </c>
      <c r="P57" s="185">
        <v>3601888.6499999985</v>
      </c>
      <c r="Q57" s="251">
        <f t="shared" si="1"/>
        <v>21364312.359999996</v>
      </c>
      <c r="R57" s="185">
        <v>1800439</v>
      </c>
      <c r="S57" s="185">
        <v>301442.15000000002</v>
      </c>
      <c r="T57" s="185">
        <v>30897674.119999997</v>
      </c>
      <c r="U57" s="9"/>
      <c r="V57" s="9"/>
      <c r="W57" s="9"/>
      <c r="X57" s="424"/>
      <c r="Y57" s="424"/>
      <c r="Z57" s="424">
        <v>7504</v>
      </c>
      <c r="AA57" s="571">
        <f t="shared" si="2"/>
        <v>33007059.269999996</v>
      </c>
      <c r="AB57" s="140">
        <f t="shared" si="6"/>
        <v>54371371.629999995</v>
      </c>
      <c r="AC57" s="115">
        <f t="shared" si="3"/>
        <v>6.7798375250971192</v>
      </c>
      <c r="AD57" s="115">
        <f t="shared" si="4"/>
        <v>99.516167664210215</v>
      </c>
      <c r="AE57" s="115">
        <f t="shared" si="7"/>
        <v>48.75332259024011</v>
      </c>
      <c r="AF57" s="226"/>
    </row>
    <row r="58" spans="1:32" ht="20.45" customHeight="1">
      <c r="A58" s="135" t="s">
        <v>154</v>
      </c>
      <c r="B58" s="136" t="s">
        <v>155</v>
      </c>
      <c r="C58" s="185">
        <v>18621843.220000003</v>
      </c>
      <c r="D58" s="185">
        <v>36482.740000000005</v>
      </c>
      <c r="E58" s="138">
        <v>18658325.960000001</v>
      </c>
      <c r="F58" s="185">
        <v>805478</v>
      </c>
      <c r="G58" s="185">
        <v>578782.55000000005</v>
      </c>
      <c r="H58" s="185">
        <v>40762049.720000006</v>
      </c>
      <c r="I58" s="114"/>
      <c r="J58" s="114"/>
      <c r="K58" s="114"/>
      <c r="L58" s="114"/>
      <c r="M58" s="140">
        <v>42146310.270000003</v>
      </c>
      <c r="N58" s="140">
        <f t="shared" si="0"/>
        <v>60804636.230000004</v>
      </c>
      <c r="O58" s="185">
        <v>18743787.029999997</v>
      </c>
      <c r="P58" s="185">
        <v>36482.76</v>
      </c>
      <c r="Q58" s="251">
        <f t="shared" si="1"/>
        <v>18780269.789999999</v>
      </c>
      <c r="R58" s="185">
        <v>2865220</v>
      </c>
      <c r="S58" s="185">
        <v>753461</v>
      </c>
      <c r="T58" s="185">
        <v>324332606.56999981</v>
      </c>
      <c r="U58" s="9"/>
      <c r="V58" s="9"/>
      <c r="W58" s="9"/>
      <c r="X58" s="424"/>
      <c r="Y58" s="424"/>
      <c r="Z58" s="424"/>
      <c r="AA58" s="571">
        <f t="shared" si="2"/>
        <v>327951287.56999981</v>
      </c>
      <c r="AB58" s="140">
        <f t="shared" si="6"/>
        <v>346731557.35999984</v>
      </c>
      <c r="AC58" s="115">
        <f t="shared" si="3"/>
        <v>0.65356254500764555</v>
      </c>
      <c r="AD58" s="115">
        <f t="shared" si="4"/>
        <v>678.12573738735443</v>
      </c>
      <c r="AE58" s="115">
        <f t="shared" si="7"/>
        <v>470.23868385372919</v>
      </c>
      <c r="AF58" s="226"/>
    </row>
    <row r="59" spans="1:32" ht="20.45" customHeight="1">
      <c r="A59" s="135" t="s">
        <v>156</v>
      </c>
      <c r="B59" s="136" t="s">
        <v>157</v>
      </c>
      <c r="C59" s="185">
        <v>20716745.399999999</v>
      </c>
      <c r="D59" s="185">
        <v>6197152.8200000022</v>
      </c>
      <c r="E59" s="138">
        <v>26913898.219999999</v>
      </c>
      <c r="F59" s="185">
        <v>3382150</v>
      </c>
      <c r="G59" s="185">
        <v>775187</v>
      </c>
      <c r="H59" s="185">
        <v>27001864.600000001</v>
      </c>
      <c r="I59" s="114"/>
      <c r="J59" s="114"/>
      <c r="K59" s="114"/>
      <c r="L59" s="185">
        <v>478664.08999999997</v>
      </c>
      <c r="M59" s="140">
        <v>31637865.690000001</v>
      </c>
      <c r="N59" s="140">
        <f t="shared" si="0"/>
        <v>58551763.909999996</v>
      </c>
      <c r="O59" s="185">
        <v>20689697.640000004</v>
      </c>
      <c r="P59" s="185">
        <v>6019683.1699999981</v>
      </c>
      <c r="Q59" s="251">
        <f t="shared" si="1"/>
        <v>26709380.810000002</v>
      </c>
      <c r="R59" s="185">
        <v>4878775</v>
      </c>
      <c r="S59" s="185">
        <v>1652053.63</v>
      </c>
      <c r="T59" s="185">
        <v>36052627.259999998</v>
      </c>
      <c r="U59" s="9"/>
      <c r="V59" s="9"/>
      <c r="W59" s="9"/>
      <c r="X59" s="424"/>
      <c r="Y59" s="424"/>
      <c r="Z59" s="112">
        <v>29227.25</v>
      </c>
      <c r="AA59" s="571">
        <f t="shared" si="2"/>
        <v>42612683.140000001</v>
      </c>
      <c r="AB59" s="140">
        <f t="shared" si="6"/>
        <v>69322063.950000003</v>
      </c>
      <c r="AC59" s="115">
        <f t="shared" si="3"/>
        <v>-0.75989516021880998</v>
      </c>
      <c r="AD59" s="115">
        <f t="shared" si="4"/>
        <v>34.688867945567154</v>
      </c>
      <c r="AE59" s="115">
        <f t="shared" si="7"/>
        <v>18.394492873955173</v>
      </c>
      <c r="AF59" s="226"/>
    </row>
    <row r="60" spans="1:32" ht="20.45" customHeight="1">
      <c r="A60" s="135" t="s">
        <v>158</v>
      </c>
      <c r="B60" s="136" t="s">
        <v>159</v>
      </c>
      <c r="C60" s="185">
        <v>15281608.85</v>
      </c>
      <c r="D60" s="185">
        <v>2560134.64</v>
      </c>
      <c r="E60" s="138">
        <v>17841743.489999998</v>
      </c>
      <c r="F60" s="185">
        <v>304800</v>
      </c>
      <c r="G60" s="185">
        <v>1147686</v>
      </c>
      <c r="H60" s="185">
        <v>8996665.8999999985</v>
      </c>
      <c r="I60" s="114"/>
      <c r="J60" s="114"/>
      <c r="K60" s="114"/>
      <c r="L60" s="185"/>
      <c r="M60" s="140">
        <v>10449151.899999999</v>
      </c>
      <c r="N60" s="140">
        <f t="shared" si="0"/>
        <v>28290895.389999997</v>
      </c>
      <c r="O60" s="185">
        <v>20155253.849999994</v>
      </c>
      <c r="P60" s="185">
        <v>2740343.57</v>
      </c>
      <c r="Q60" s="251">
        <f t="shared" si="1"/>
        <v>22895597.419999994</v>
      </c>
      <c r="R60" s="185">
        <v>65400</v>
      </c>
      <c r="S60" s="185">
        <v>1307021</v>
      </c>
      <c r="T60" s="185">
        <v>173625941.49000001</v>
      </c>
      <c r="U60" s="9"/>
      <c r="V60" s="424">
        <v>3000</v>
      </c>
      <c r="W60" s="9"/>
      <c r="X60" s="424"/>
      <c r="Y60" s="424"/>
      <c r="Z60" s="424"/>
      <c r="AA60" s="571">
        <f t="shared" si="2"/>
        <v>175001362.49000001</v>
      </c>
      <c r="AB60" s="140">
        <f t="shared" si="6"/>
        <v>197896959.91</v>
      </c>
      <c r="AC60" s="115">
        <f t="shared" si="3"/>
        <v>28.326009354593612</v>
      </c>
      <c r="AD60" s="115">
        <f t="shared" si="4"/>
        <v>1574.7901089465454</v>
      </c>
      <c r="AE60" s="115">
        <f t="shared" si="7"/>
        <v>599.50758780137721</v>
      </c>
      <c r="AF60" s="226"/>
    </row>
    <row r="61" spans="1:32" ht="20.45" customHeight="1">
      <c r="A61" s="135" t="s">
        <v>160</v>
      </c>
      <c r="B61" s="136" t="s">
        <v>161</v>
      </c>
      <c r="C61" s="185">
        <v>22840892.07</v>
      </c>
      <c r="D61" s="185">
        <v>2013323.6300000001</v>
      </c>
      <c r="E61" s="138">
        <v>24854215.699999999</v>
      </c>
      <c r="F61" s="185">
        <v>4003380</v>
      </c>
      <c r="G61" s="185">
        <v>1194826</v>
      </c>
      <c r="H61" s="185">
        <v>26057176.759999998</v>
      </c>
      <c r="I61" s="114">
        <v>30750</v>
      </c>
      <c r="J61" s="114"/>
      <c r="K61" s="114"/>
      <c r="L61" s="114">
        <v>72750</v>
      </c>
      <c r="M61" s="140">
        <v>31358882.759999998</v>
      </c>
      <c r="N61" s="140">
        <f t="shared" si="0"/>
        <v>56213098.459999993</v>
      </c>
      <c r="O61" s="185">
        <v>24847033.949999999</v>
      </c>
      <c r="P61" s="185">
        <v>4599831.9000000004</v>
      </c>
      <c r="Q61" s="251">
        <f t="shared" si="1"/>
        <v>29446865.850000001</v>
      </c>
      <c r="R61" s="185">
        <v>516700</v>
      </c>
      <c r="S61" s="185">
        <v>1664004</v>
      </c>
      <c r="T61" s="185">
        <v>587032849.42999995</v>
      </c>
      <c r="U61" s="185"/>
      <c r="V61" s="185"/>
      <c r="W61" s="9"/>
      <c r="X61" s="424"/>
      <c r="Y61" s="424"/>
      <c r="Z61" s="112">
        <v>2449.6999999999998</v>
      </c>
      <c r="AA61" s="571">
        <f t="shared" si="2"/>
        <v>589216003.13</v>
      </c>
      <c r="AB61" s="140">
        <f t="shared" si="6"/>
        <v>618662868.98000002</v>
      </c>
      <c r="AC61" s="115">
        <f t="shared" si="3"/>
        <v>18.478354760556787</v>
      </c>
      <c r="AD61" s="115">
        <f t="shared" si="4"/>
        <v>1778.9445007957295</v>
      </c>
      <c r="AE61" s="115">
        <f t="shared" si="7"/>
        <v>1000.5671025592495</v>
      </c>
      <c r="AF61" s="226"/>
    </row>
    <row r="62" spans="1:32" ht="20.45" customHeight="1">
      <c r="A62" s="135" t="s">
        <v>162</v>
      </c>
      <c r="B62" s="136" t="s">
        <v>163</v>
      </c>
      <c r="C62" s="185">
        <v>16565430.410000004</v>
      </c>
      <c r="D62" s="185">
        <v>36741.659999999996</v>
      </c>
      <c r="E62" s="138">
        <v>16602172.070000004</v>
      </c>
      <c r="F62" s="114">
        <v>392200</v>
      </c>
      <c r="G62" s="185">
        <v>559245</v>
      </c>
      <c r="H62" s="185">
        <v>15898741.299999999</v>
      </c>
      <c r="I62" s="114"/>
      <c r="J62" s="114"/>
      <c r="K62" s="185"/>
      <c r="L62" s="114"/>
      <c r="M62" s="140">
        <v>16850186.299999997</v>
      </c>
      <c r="N62" s="140">
        <f t="shared" si="0"/>
        <v>33452358.370000001</v>
      </c>
      <c r="O62" s="185">
        <v>17620253.82</v>
      </c>
      <c r="P62" s="185">
        <v>54443.66</v>
      </c>
      <c r="Q62" s="251">
        <f t="shared" si="1"/>
        <v>17674697.48</v>
      </c>
      <c r="R62" s="185">
        <v>1243530</v>
      </c>
      <c r="S62" s="185">
        <v>576896.66999999993</v>
      </c>
      <c r="T62" s="185">
        <v>56479945.490000002</v>
      </c>
      <c r="U62" s="9"/>
      <c r="V62" s="9"/>
      <c r="W62" s="9"/>
      <c r="X62" s="424"/>
      <c r="Y62" s="424"/>
      <c r="Z62" s="424"/>
      <c r="AA62" s="571">
        <f t="shared" si="2"/>
        <v>58300372.160000004</v>
      </c>
      <c r="AB62" s="140">
        <f t="shared" si="6"/>
        <v>75975069.640000001</v>
      </c>
      <c r="AC62" s="115">
        <f t="shared" si="3"/>
        <v>6.4601511505716855</v>
      </c>
      <c r="AD62" s="115">
        <f t="shared" si="4"/>
        <v>245.99244852266122</v>
      </c>
      <c r="AE62" s="115">
        <f t="shared" si="7"/>
        <v>127.1142404959235</v>
      </c>
      <c r="AF62" s="226"/>
    </row>
    <row r="63" spans="1:32" ht="20.45" customHeight="1">
      <c r="A63" s="135" t="s">
        <v>164</v>
      </c>
      <c r="B63" s="136" t="s">
        <v>165</v>
      </c>
      <c r="C63" s="185">
        <v>14732495.150000004</v>
      </c>
      <c r="D63" s="185">
        <v>1385945.05</v>
      </c>
      <c r="E63" s="138">
        <v>16118440.200000005</v>
      </c>
      <c r="F63" s="114"/>
      <c r="G63" s="114"/>
      <c r="H63" s="185">
        <v>27850068.670000002</v>
      </c>
      <c r="I63" s="114"/>
      <c r="J63" s="114"/>
      <c r="K63" s="114"/>
      <c r="L63" s="114"/>
      <c r="M63" s="140">
        <v>27850068.670000002</v>
      </c>
      <c r="N63" s="140">
        <f t="shared" si="0"/>
        <v>43968508.870000005</v>
      </c>
      <c r="O63" s="185">
        <v>15680178.660000002</v>
      </c>
      <c r="P63" s="185">
        <v>1241870</v>
      </c>
      <c r="Q63" s="251">
        <f t="shared" si="1"/>
        <v>16922048.660000004</v>
      </c>
      <c r="R63" s="9"/>
      <c r="S63" s="9"/>
      <c r="T63" s="185">
        <v>175892196.54999998</v>
      </c>
      <c r="U63" s="9"/>
      <c r="V63" s="9"/>
      <c r="W63" s="9"/>
      <c r="X63" s="424"/>
      <c r="Y63" s="424"/>
      <c r="Z63" s="424"/>
      <c r="AA63" s="571">
        <f t="shared" si="2"/>
        <v>175892196.54999998</v>
      </c>
      <c r="AB63" s="140">
        <f t="shared" si="6"/>
        <v>192814245.20999998</v>
      </c>
      <c r="AC63" s="115">
        <f t="shared" si="3"/>
        <v>4.9856465639894783</v>
      </c>
      <c r="AD63" s="115">
        <f t="shared" si="4"/>
        <v>531.56826876865284</v>
      </c>
      <c r="AE63" s="115">
        <f t="shared" si="7"/>
        <v>338.52805147449152</v>
      </c>
      <c r="AF63" s="226"/>
    </row>
    <row r="64" spans="1:32" ht="20.45" customHeight="1">
      <c r="A64" s="135" t="s">
        <v>166</v>
      </c>
      <c r="B64" s="136" t="s">
        <v>167</v>
      </c>
      <c r="C64" s="185">
        <v>16180713.789999999</v>
      </c>
      <c r="D64" s="185">
        <v>955984.62000000011</v>
      </c>
      <c r="E64" s="138">
        <v>17136698.41</v>
      </c>
      <c r="F64" s="185">
        <v>1086690</v>
      </c>
      <c r="G64" s="185">
        <v>858541.01</v>
      </c>
      <c r="H64" s="185">
        <v>12011822.880000001</v>
      </c>
      <c r="I64" s="114"/>
      <c r="J64" s="185"/>
      <c r="K64" s="114"/>
      <c r="L64" s="114"/>
      <c r="M64" s="140">
        <v>13957053.890000001</v>
      </c>
      <c r="N64" s="140">
        <f t="shared" si="0"/>
        <v>31093752.300000001</v>
      </c>
      <c r="O64" s="185">
        <v>16958319.829999998</v>
      </c>
      <c r="P64" s="185">
        <v>962525.62000000023</v>
      </c>
      <c r="Q64" s="251">
        <f t="shared" si="1"/>
        <v>17920845.449999999</v>
      </c>
      <c r="R64" s="185">
        <v>1672266</v>
      </c>
      <c r="S64" s="185">
        <v>249870</v>
      </c>
      <c r="T64" s="185">
        <v>35867441.229999997</v>
      </c>
      <c r="U64" s="9"/>
      <c r="V64" s="9"/>
      <c r="W64" s="9"/>
      <c r="X64" s="424"/>
      <c r="Y64" s="424"/>
      <c r="Z64" s="424"/>
      <c r="AA64" s="571">
        <f t="shared" si="2"/>
        <v>37789577.229999997</v>
      </c>
      <c r="AB64" s="140">
        <f t="shared" si="6"/>
        <v>55710422.679999992</v>
      </c>
      <c r="AC64" s="115">
        <f t="shared" si="3"/>
        <v>4.5758349784717902</v>
      </c>
      <c r="AD64" s="115">
        <f t="shared" si="4"/>
        <v>170.75611750038172</v>
      </c>
      <c r="AE64" s="115">
        <f t="shared" si="7"/>
        <v>79.169185315726565</v>
      </c>
      <c r="AF64" s="226"/>
    </row>
    <row r="65" spans="1:32" ht="20.45" customHeight="1">
      <c r="A65" s="135" t="s">
        <v>168</v>
      </c>
      <c r="B65" s="136" t="s">
        <v>169</v>
      </c>
      <c r="C65" s="185">
        <v>15772990.900000002</v>
      </c>
      <c r="D65" s="185">
        <v>480817.37999999995</v>
      </c>
      <c r="E65" s="138">
        <v>16253808.280000003</v>
      </c>
      <c r="F65" s="185">
        <v>1682535</v>
      </c>
      <c r="G65" s="185">
        <v>212933</v>
      </c>
      <c r="H65" s="185">
        <v>15759536.540000001</v>
      </c>
      <c r="I65" s="114"/>
      <c r="J65" s="114"/>
      <c r="K65" s="114"/>
      <c r="L65" s="114"/>
      <c r="M65" s="140">
        <v>17655004.539999999</v>
      </c>
      <c r="N65" s="140">
        <f t="shared" si="0"/>
        <v>33908812.82</v>
      </c>
      <c r="O65" s="185">
        <v>17028848.619999997</v>
      </c>
      <c r="P65" s="185">
        <v>459646.0400000001</v>
      </c>
      <c r="Q65" s="251">
        <f t="shared" si="1"/>
        <v>17488494.659999996</v>
      </c>
      <c r="R65" s="185">
        <v>1868413</v>
      </c>
      <c r="S65" s="185">
        <v>557041</v>
      </c>
      <c r="T65" s="185">
        <v>160427927.07999998</v>
      </c>
      <c r="U65" s="9"/>
      <c r="V65" s="9"/>
      <c r="W65" s="9"/>
      <c r="X65" s="424"/>
      <c r="Y65" s="424"/>
      <c r="Z65" s="424"/>
      <c r="AA65" s="571">
        <f t="shared" si="2"/>
        <v>162853381.07999998</v>
      </c>
      <c r="AB65" s="140">
        <f t="shared" si="6"/>
        <v>180341875.73999998</v>
      </c>
      <c r="AC65" s="115">
        <f t="shared" si="3"/>
        <v>7.5962897970148395</v>
      </c>
      <c r="AD65" s="115">
        <f t="shared" si="4"/>
        <v>822.42049958713858</v>
      </c>
      <c r="AE65" s="115">
        <f t="shared" si="7"/>
        <v>431.84367349372741</v>
      </c>
      <c r="AF65" s="226"/>
    </row>
    <row r="66" spans="1:32" ht="20.45" customHeight="1">
      <c r="A66" s="135" t="s">
        <v>170</v>
      </c>
      <c r="B66" s="136" t="s">
        <v>171</v>
      </c>
      <c r="C66" s="185">
        <v>24288255.989999995</v>
      </c>
      <c r="D66" s="185">
        <v>33942.490000000005</v>
      </c>
      <c r="E66" s="138">
        <v>24322198.479999993</v>
      </c>
      <c r="F66" s="185">
        <v>1550200</v>
      </c>
      <c r="G66" s="185">
        <v>1539192.8</v>
      </c>
      <c r="H66" s="185">
        <v>26770511.390000001</v>
      </c>
      <c r="I66" s="114"/>
      <c r="J66" s="114"/>
      <c r="K66" s="114"/>
      <c r="L66" s="114"/>
      <c r="M66" s="140">
        <v>29859904.190000001</v>
      </c>
      <c r="N66" s="140">
        <f t="shared" si="0"/>
        <v>54182102.669999994</v>
      </c>
      <c r="O66" s="185">
        <v>23529029.43</v>
      </c>
      <c r="P66" s="185">
        <v>6299.0000000000009</v>
      </c>
      <c r="Q66" s="251">
        <f t="shared" si="1"/>
        <v>23535328.43</v>
      </c>
      <c r="R66" s="185">
        <v>3748595</v>
      </c>
      <c r="S66" s="185">
        <v>2198127.5099999998</v>
      </c>
      <c r="T66" s="185">
        <v>32762668.399999995</v>
      </c>
      <c r="U66" s="9"/>
      <c r="V66" s="9"/>
      <c r="W66" s="9"/>
      <c r="X66" s="424"/>
      <c r="Y66" s="424"/>
      <c r="Z66" s="424"/>
      <c r="AA66" s="571">
        <f t="shared" si="2"/>
        <v>38709390.909999996</v>
      </c>
      <c r="AB66" s="140">
        <f t="shared" si="6"/>
        <v>62244719.339999996</v>
      </c>
      <c r="AC66" s="115">
        <f t="shared" si="3"/>
        <v>-3.2351929479032586</v>
      </c>
      <c r="AD66" s="115">
        <f t="shared" si="4"/>
        <v>29.636688261590816</v>
      </c>
      <c r="AE66" s="115">
        <f t="shared" si="7"/>
        <v>14.88059021833455</v>
      </c>
      <c r="AF66" s="226"/>
    </row>
    <row r="67" spans="1:32" ht="20.45" customHeight="1">
      <c r="A67" s="135" t="s">
        <v>172</v>
      </c>
      <c r="B67" s="136" t="s">
        <v>173</v>
      </c>
      <c r="C67" s="185">
        <v>14335201.600000003</v>
      </c>
      <c r="D67" s="185">
        <v>348239.93</v>
      </c>
      <c r="E67" s="138">
        <v>14683441.530000003</v>
      </c>
      <c r="F67" s="185">
        <v>208205</v>
      </c>
      <c r="G67" s="185">
        <v>873549</v>
      </c>
      <c r="H67" s="185">
        <v>17971896.68</v>
      </c>
      <c r="I67" s="114"/>
      <c r="J67" s="114"/>
      <c r="K67" s="114"/>
      <c r="L67" s="114"/>
      <c r="M67" s="140">
        <v>19053650.68</v>
      </c>
      <c r="N67" s="140">
        <f t="shared" si="0"/>
        <v>33737092.210000001</v>
      </c>
      <c r="O67" s="185">
        <v>14323161.179999998</v>
      </c>
      <c r="P67" s="185">
        <v>550666.56000000006</v>
      </c>
      <c r="Q67" s="251">
        <f t="shared" si="1"/>
        <v>14873827.739999998</v>
      </c>
      <c r="R67" s="185">
        <v>441947</v>
      </c>
      <c r="S67" s="185">
        <v>321727</v>
      </c>
      <c r="T67" s="185">
        <v>26831123.879999999</v>
      </c>
      <c r="U67" s="9"/>
      <c r="V67" s="9"/>
      <c r="W67" s="9"/>
      <c r="X67" s="424"/>
      <c r="Y67" s="424"/>
      <c r="Z67" s="424"/>
      <c r="AA67" s="571">
        <f t="shared" si="2"/>
        <v>27594797.879999999</v>
      </c>
      <c r="AB67" s="140">
        <f t="shared" si="6"/>
        <v>42468625.619999997</v>
      </c>
      <c r="AC67" s="115">
        <f t="shared" si="3"/>
        <v>1.296604815778466</v>
      </c>
      <c r="AD67" s="115">
        <f t="shared" si="4"/>
        <v>44.826827905296724</v>
      </c>
      <c r="AE67" s="115">
        <f t="shared" si="7"/>
        <v>25.881108412217831</v>
      </c>
      <c r="AF67" s="226"/>
    </row>
    <row r="68" spans="1:32" ht="20.45" customHeight="1">
      <c r="A68" s="135" t="s">
        <v>174</v>
      </c>
      <c r="B68" s="136" t="s">
        <v>175</v>
      </c>
      <c r="C68" s="185">
        <v>16175588.74</v>
      </c>
      <c r="D68" s="185">
        <v>8659486.7100000009</v>
      </c>
      <c r="E68" s="138">
        <v>24835075.450000003</v>
      </c>
      <c r="F68" s="185">
        <v>3852080</v>
      </c>
      <c r="G68" s="185">
        <v>1155579.5</v>
      </c>
      <c r="H68" s="185">
        <v>15926822.190000001</v>
      </c>
      <c r="I68" s="114"/>
      <c r="J68" s="114"/>
      <c r="K68" s="114"/>
      <c r="L68" s="114"/>
      <c r="M68" s="140">
        <v>20934481.690000001</v>
      </c>
      <c r="N68" s="140">
        <f t="shared" si="0"/>
        <v>45769557.140000001</v>
      </c>
      <c r="O68" s="185">
        <v>16108790.099999998</v>
      </c>
      <c r="P68" s="185">
        <v>10135476.720000001</v>
      </c>
      <c r="Q68" s="251">
        <f t="shared" si="1"/>
        <v>26244266.82</v>
      </c>
      <c r="R68" s="185">
        <v>10792119</v>
      </c>
      <c r="S68" s="185">
        <v>1294176</v>
      </c>
      <c r="T68" s="185">
        <v>350144418.45999998</v>
      </c>
      <c r="U68" s="9"/>
      <c r="V68" s="9"/>
      <c r="W68" s="9"/>
      <c r="X68" s="424">
        <v>0</v>
      </c>
      <c r="Y68" s="424"/>
      <c r="Z68" s="424">
        <v>4300</v>
      </c>
      <c r="AA68" s="571">
        <f t="shared" si="2"/>
        <v>362235013.45999998</v>
      </c>
      <c r="AB68" s="140">
        <f t="shared" si="6"/>
        <v>388479280.27999997</v>
      </c>
      <c r="AC68" s="115">
        <f t="shared" si="3"/>
        <v>5.6741980624826214</v>
      </c>
      <c r="AD68" s="115">
        <f t="shared" si="4"/>
        <v>1630.3271168783351</v>
      </c>
      <c r="AE68" s="115">
        <f t="shared" si="7"/>
        <v>748.77220701899932</v>
      </c>
      <c r="AF68" s="226"/>
    </row>
    <row r="69" spans="1:32" ht="20.45" customHeight="1">
      <c r="A69" s="135" t="s">
        <v>176</v>
      </c>
      <c r="B69" s="136" t="s">
        <v>177</v>
      </c>
      <c r="C69" s="185">
        <v>20487078.789999999</v>
      </c>
      <c r="D69" s="185">
        <v>343553.58</v>
      </c>
      <c r="E69" s="138">
        <v>20830632.369999997</v>
      </c>
      <c r="F69" s="185">
        <v>1474700</v>
      </c>
      <c r="G69" s="185">
        <v>238175</v>
      </c>
      <c r="H69" s="185">
        <v>20528989.479999997</v>
      </c>
      <c r="I69" s="114"/>
      <c r="J69" s="114"/>
      <c r="K69" s="114"/>
      <c r="L69" s="114"/>
      <c r="M69" s="140">
        <v>22241864.479999997</v>
      </c>
      <c r="N69" s="140">
        <f t="shared" si="0"/>
        <v>43072496.849999994</v>
      </c>
      <c r="O69" s="185">
        <v>20057339.940000001</v>
      </c>
      <c r="P69" s="185">
        <v>400939.68</v>
      </c>
      <c r="Q69" s="251">
        <f t="shared" si="1"/>
        <v>20458279.620000001</v>
      </c>
      <c r="R69" s="185">
        <v>2525210</v>
      </c>
      <c r="S69" s="185">
        <v>340338</v>
      </c>
      <c r="T69" s="185">
        <v>57397604.980000027</v>
      </c>
      <c r="U69" s="9"/>
      <c r="V69" s="9"/>
      <c r="W69" s="9"/>
      <c r="X69" s="424"/>
      <c r="Y69" s="424"/>
      <c r="Z69" s="424"/>
      <c r="AA69" s="571">
        <f t="shared" si="2"/>
        <v>60263152.980000027</v>
      </c>
      <c r="AB69" s="140">
        <f t="shared" si="6"/>
        <v>80721432.600000024</v>
      </c>
      <c r="AC69" s="115">
        <f t="shared" si="3"/>
        <v>-1.7875249458881231</v>
      </c>
      <c r="AD69" s="115">
        <f t="shared" si="4"/>
        <v>170.94469995619735</v>
      </c>
      <c r="AE69" s="115">
        <f t="shared" si="7"/>
        <v>87.408296484674381</v>
      </c>
      <c r="AF69" s="226"/>
    </row>
    <row r="70" spans="1:32" ht="20.45" customHeight="1">
      <c r="A70" s="135" t="s">
        <v>178</v>
      </c>
      <c r="B70" s="136" t="s">
        <v>301</v>
      </c>
      <c r="C70" s="185">
        <v>16468597.99</v>
      </c>
      <c r="D70" s="185">
        <v>3960598.3299999982</v>
      </c>
      <c r="E70" s="138">
        <v>20429196.32</v>
      </c>
      <c r="F70" s="185"/>
      <c r="G70" s="185">
        <v>370696.25</v>
      </c>
      <c r="H70" s="185">
        <v>26426831.82</v>
      </c>
      <c r="I70" s="114"/>
      <c r="J70" s="114"/>
      <c r="K70" s="114"/>
      <c r="L70" s="114"/>
      <c r="M70" s="140">
        <v>26797528.07</v>
      </c>
      <c r="N70" s="140">
        <f t="shared" si="0"/>
        <v>47226724.390000001</v>
      </c>
      <c r="O70" s="185">
        <v>19341109.789999999</v>
      </c>
      <c r="P70" s="185">
        <v>9038432.3999999985</v>
      </c>
      <c r="Q70" s="251">
        <f t="shared" si="1"/>
        <v>28379542.189999998</v>
      </c>
      <c r="R70" s="9">
        <v>33580</v>
      </c>
      <c r="S70" s="185">
        <v>915876</v>
      </c>
      <c r="T70" s="185">
        <v>69633469.780000001</v>
      </c>
      <c r="U70" s="424">
        <v>100000</v>
      </c>
      <c r="V70" s="9"/>
      <c r="W70" s="9"/>
      <c r="X70" s="424"/>
      <c r="Y70" s="424"/>
      <c r="Z70" s="424"/>
      <c r="AA70" s="571">
        <f t="shared" si="2"/>
        <v>70682925.780000001</v>
      </c>
      <c r="AB70" s="140">
        <f t="shared" si="6"/>
        <v>99062467.969999999</v>
      </c>
      <c r="AC70" s="115">
        <f t="shared" si="3"/>
        <v>38.916586563009723</v>
      </c>
      <c r="AD70" s="115">
        <f t="shared" si="4"/>
        <v>163.76658919943432</v>
      </c>
      <c r="AE70" s="115">
        <f t="shared" si="7"/>
        <v>109.75934547553743</v>
      </c>
      <c r="AF70" s="226"/>
    </row>
    <row r="71" spans="1:32" ht="20.45" customHeight="1">
      <c r="A71" s="135" t="s">
        <v>179</v>
      </c>
      <c r="B71" s="136" t="s">
        <v>180</v>
      </c>
      <c r="C71" s="185">
        <v>16912697.620000005</v>
      </c>
      <c r="D71" s="185">
        <v>38647901.880000018</v>
      </c>
      <c r="E71" s="138">
        <v>55560599.500000022</v>
      </c>
      <c r="F71" s="185">
        <v>6605075</v>
      </c>
      <c r="G71" s="185">
        <v>18440</v>
      </c>
      <c r="H71" s="185">
        <v>34949418.899999999</v>
      </c>
      <c r="I71" s="114"/>
      <c r="J71" s="114"/>
      <c r="K71" s="114"/>
      <c r="L71" s="114"/>
      <c r="M71" s="140">
        <v>41572933.899999999</v>
      </c>
      <c r="N71" s="140">
        <f t="shared" si="0"/>
        <v>97133533.400000021</v>
      </c>
      <c r="O71" s="185">
        <v>16788353.75</v>
      </c>
      <c r="P71" s="185">
        <v>38933828.029999979</v>
      </c>
      <c r="Q71" s="251">
        <f t="shared" si="1"/>
        <v>55722181.779999979</v>
      </c>
      <c r="R71" s="185">
        <v>5818320</v>
      </c>
      <c r="S71" s="185">
        <v>418236</v>
      </c>
      <c r="T71" s="185">
        <v>77112292.390000015</v>
      </c>
      <c r="U71" s="9"/>
      <c r="V71" s="9"/>
      <c r="W71" s="9"/>
      <c r="X71" s="424"/>
      <c r="Y71" s="424"/>
      <c r="Z71" s="424"/>
      <c r="AA71" s="571">
        <f t="shared" si="2"/>
        <v>83348848.390000015</v>
      </c>
      <c r="AB71" s="140">
        <f t="shared" si="6"/>
        <v>139071030.16999999</v>
      </c>
      <c r="AC71" s="115">
        <f t="shared" si="3"/>
        <v>0.29082170000695623</v>
      </c>
      <c r="AD71" s="115">
        <f t="shared" si="4"/>
        <v>100.48825178056538</v>
      </c>
      <c r="AE71" s="115">
        <f t="shared" si="7"/>
        <v>43.175096490415484</v>
      </c>
      <c r="AF71" s="226"/>
    </row>
    <row r="72" spans="1:32" ht="20.45" customHeight="1">
      <c r="A72" s="135" t="s">
        <v>181</v>
      </c>
      <c r="B72" s="136" t="s">
        <v>182</v>
      </c>
      <c r="C72" s="185">
        <v>20350836.300000001</v>
      </c>
      <c r="D72" s="185">
        <v>45078878.740000017</v>
      </c>
      <c r="E72" s="138">
        <v>65429715.040000021</v>
      </c>
      <c r="F72" s="185">
        <v>1873443</v>
      </c>
      <c r="G72" s="185">
        <v>240905</v>
      </c>
      <c r="H72" s="185">
        <v>17287974.810000002</v>
      </c>
      <c r="I72" s="114"/>
      <c r="J72" s="114"/>
      <c r="K72" s="114"/>
      <c r="L72" s="114">
        <v>236856</v>
      </c>
      <c r="M72" s="140">
        <v>19639178.810000002</v>
      </c>
      <c r="N72" s="140">
        <f t="shared" si="0"/>
        <v>85068893.850000024</v>
      </c>
      <c r="O72" s="185">
        <v>21236724.440000001</v>
      </c>
      <c r="P72" s="185">
        <v>41550669.530000009</v>
      </c>
      <c r="Q72" s="251">
        <f t="shared" si="1"/>
        <v>62787393.970000014</v>
      </c>
      <c r="R72" s="185">
        <v>4017812</v>
      </c>
      <c r="S72" s="185">
        <v>253668</v>
      </c>
      <c r="T72" s="185">
        <v>24606921.930000003</v>
      </c>
      <c r="U72" s="9"/>
      <c r="V72" s="9"/>
      <c r="W72" s="9"/>
      <c r="X72" s="424"/>
      <c r="Y72" s="424"/>
      <c r="Z72" s="112"/>
      <c r="AA72" s="571">
        <f t="shared" si="2"/>
        <v>28878401.930000003</v>
      </c>
      <c r="AB72" s="140">
        <f t="shared" si="6"/>
        <v>91665795.900000021</v>
      </c>
      <c r="AC72" s="115">
        <f t="shared" si="3"/>
        <v>-4.0384113982227223</v>
      </c>
      <c r="AD72" s="115">
        <f t="shared" si="4"/>
        <v>47.044854621393405</v>
      </c>
      <c r="AE72" s="115">
        <f t="shared" si="7"/>
        <v>7.7547758662903963</v>
      </c>
      <c r="AF72" s="226"/>
    </row>
    <row r="73" spans="1:32" ht="20.45" customHeight="1">
      <c r="A73" s="135" t="s">
        <v>183</v>
      </c>
      <c r="B73" s="136" t="s">
        <v>184</v>
      </c>
      <c r="C73" s="185">
        <v>14213230.93</v>
      </c>
      <c r="D73" s="185">
        <v>2405098.8599999994</v>
      </c>
      <c r="E73" s="138">
        <v>16618329.789999999</v>
      </c>
      <c r="F73" s="185">
        <v>6500</v>
      </c>
      <c r="G73" s="185">
        <v>49433</v>
      </c>
      <c r="H73" s="185">
        <v>14478880.5</v>
      </c>
      <c r="I73" s="114"/>
      <c r="J73" s="114"/>
      <c r="K73" s="114"/>
      <c r="L73" s="114"/>
      <c r="M73" s="140">
        <v>14534813.5</v>
      </c>
      <c r="N73" s="140">
        <f t="shared" ref="N73:N105" si="8">E73+M73</f>
        <v>31153143.289999999</v>
      </c>
      <c r="O73" s="185">
        <v>15099420.24</v>
      </c>
      <c r="P73" s="185">
        <v>2405098.87</v>
      </c>
      <c r="Q73" s="251">
        <f t="shared" ref="Q73:Q91" si="9">SUM(O73:P73)</f>
        <v>17504519.109999999</v>
      </c>
      <c r="R73" s="185"/>
      <c r="S73" s="185">
        <v>54934.439999999995</v>
      </c>
      <c r="T73" s="185">
        <v>21192910.800000001</v>
      </c>
      <c r="U73" s="9"/>
      <c r="V73" s="9"/>
      <c r="W73" s="9"/>
      <c r="X73" s="424"/>
      <c r="Y73" s="424"/>
      <c r="Z73" s="424"/>
      <c r="AA73" s="571">
        <f t="shared" ref="AA73:AA91" si="10">SUM(R73:Z73)</f>
        <v>21247845.240000002</v>
      </c>
      <c r="AB73" s="140">
        <f t="shared" si="6"/>
        <v>38752364.350000001</v>
      </c>
      <c r="AC73" s="115">
        <f t="shared" ref="AC73:AC91" si="11">(((Q73-E73)/E73)*100)</f>
        <v>5.3326015983463062</v>
      </c>
      <c r="AD73" s="115">
        <f t="shared" ref="AD73:AD91" si="12">(((AA73-M73)/M73)*100)</f>
        <v>46.185881504430739</v>
      </c>
      <c r="AE73" s="115">
        <f t="shared" ref="AE73:AE91" si="13">(((AB73-N73)/N73)*100)</f>
        <v>24.393111761660705</v>
      </c>
      <c r="AF73" s="226"/>
    </row>
    <row r="74" spans="1:32" ht="20.45" customHeight="1">
      <c r="A74" s="135" t="s">
        <v>185</v>
      </c>
      <c r="B74" s="136" t="s">
        <v>186</v>
      </c>
      <c r="C74" s="185">
        <v>17091684.909999996</v>
      </c>
      <c r="D74" s="185">
        <v>528502</v>
      </c>
      <c r="E74" s="138">
        <v>17620186.909999996</v>
      </c>
      <c r="F74" s="185">
        <v>371400</v>
      </c>
      <c r="G74" s="185">
        <v>94545</v>
      </c>
      <c r="H74" s="185">
        <v>11857937.879999999</v>
      </c>
      <c r="I74" s="114"/>
      <c r="J74" s="114"/>
      <c r="K74" s="114"/>
      <c r="L74" s="114"/>
      <c r="M74" s="140">
        <v>12323882.879999999</v>
      </c>
      <c r="N74" s="140">
        <f t="shared" si="8"/>
        <v>29944069.789999995</v>
      </c>
      <c r="O74" s="185">
        <v>16910201.079999998</v>
      </c>
      <c r="P74" s="185">
        <v>83950</v>
      </c>
      <c r="Q74" s="251">
        <f t="shared" si="9"/>
        <v>16994151.079999998</v>
      </c>
      <c r="R74" s="185">
        <v>1718460</v>
      </c>
      <c r="S74" s="185">
        <v>126847</v>
      </c>
      <c r="T74" s="185">
        <v>11344809.76</v>
      </c>
      <c r="U74" s="9"/>
      <c r="V74" s="9"/>
      <c r="W74" s="9"/>
      <c r="X74" s="424"/>
      <c r="Y74" s="424"/>
      <c r="Z74" s="424"/>
      <c r="AA74" s="571">
        <f t="shared" si="10"/>
        <v>13190116.76</v>
      </c>
      <c r="AB74" s="140">
        <f t="shared" ref="AB74:AB91" si="14">Q74+AA74</f>
        <v>30184267.839999996</v>
      </c>
      <c r="AC74" s="115">
        <f t="shared" si="11"/>
        <v>-3.5529465901675743</v>
      </c>
      <c r="AD74" s="115">
        <f t="shared" si="12"/>
        <v>7.0289038644288135</v>
      </c>
      <c r="AE74" s="115">
        <f t="shared" si="13"/>
        <v>0.80215565781314191</v>
      </c>
      <c r="AF74" s="226"/>
    </row>
    <row r="75" spans="1:32" ht="20.45" customHeight="1">
      <c r="A75" s="135" t="s">
        <v>187</v>
      </c>
      <c r="B75" s="136" t="s">
        <v>188</v>
      </c>
      <c r="C75" s="185">
        <v>16826663.780000001</v>
      </c>
      <c r="D75" s="185">
        <v>6388714.7599999998</v>
      </c>
      <c r="E75" s="138">
        <v>23215378.539999999</v>
      </c>
      <c r="F75" s="185">
        <v>487900</v>
      </c>
      <c r="G75" s="185">
        <v>645500</v>
      </c>
      <c r="H75" s="185">
        <v>12196418.75</v>
      </c>
      <c r="I75" s="114"/>
      <c r="J75" s="114"/>
      <c r="K75" s="114"/>
      <c r="L75" s="114"/>
      <c r="M75" s="140">
        <v>13329818.75</v>
      </c>
      <c r="N75" s="140">
        <f t="shared" si="8"/>
        <v>36545197.289999999</v>
      </c>
      <c r="O75" s="185">
        <v>17836054.84</v>
      </c>
      <c r="P75" s="185">
        <v>5195953.4899999993</v>
      </c>
      <c r="Q75" s="251">
        <f t="shared" si="9"/>
        <v>23032008.329999998</v>
      </c>
      <c r="R75" s="185">
        <v>1833270</v>
      </c>
      <c r="S75" s="185">
        <v>1026760.53</v>
      </c>
      <c r="T75" s="185">
        <v>25723194.829999994</v>
      </c>
      <c r="U75" s="9"/>
      <c r="V75" s="9"/>
      <c r="W75" s="9"/>
      <c r="X75" s="424"/>
      <c r="Y75" s="424"/>
      <c r="Z75" s="424"/>
      <c r="AA75" s="571">
        <f t="shared" si="10"/>
        <v>28583225.359999996</v>
      </c>
      <c r="AB75" s="140">
        <f t="shared" si="14"/>
        <v>51615233.689999998</v>
      </c>
      <c r="AC75" s="115">
        <f t="shared" si="11"/>
        <v>-0.78986525972021016</v>
      </c>
      <c r="AD75" s="115">
        <f t="shared" si="12"/>
        <v>114.43071279570096</v>
      </c>
      <c r="AE75" s="115">
        <f t="shared" si="13"/>
        <v>41.236708288680305</v>
      </c>
      <c r="AF75" s="226"/>
    </row>
    <row r="76" spans="1:32" ht="20.45" customHeight="1">
      <c r="A76" s="135" t="s">
        <v>189</v>
      </c>
      <c r="B76" s="136" t="s">
        <v>190</v>
      </c>
      <c r="C76" s="185">
        <v>18596578.34</v>
      </c>
      <c r="D76" s="185">
        <v>12126310.84</v>
      </c>
      <c r="E76" s="138">
        <v>30722889.18</v>
      </c>
      <c r="F76" s="185">
        <v>1843941</v>
      </c>
      <c r="G76" s="185">
        <v>534360</v>
      </c>
      <c r="H76" s="185">
        <v>15896922.199999999</v>
      </c>
      <c r="I76" s="114"/>
      <c r="J76" s="114"/>
      <c r="K76" s="114"/>
      <c r="L76" s="114"/>
      <c r="M76" s="140">
        <v>18275223.199999999</v>
      </c>
      <c r="N76" s="140">
        <f t="shared" si="8"/>
        <v>48998112.379999995</v>
      </c>
      <c r="O76" s="185">
        <v>17735224.539999999</v>
      </c>
      <c r="P76" s="185">
        <v>10332114.470000003</v>
      </c>
      <c r="Q76" s="251">
        <f t="shared" si="9"/>
        <v>28067339.010000002</v>
      </c>
      <c r="R76" s="185">
        <v>2359868</v>
      </c>
      <c r="S76" s="185">
        <v>840143</v>
      </c>
      <c r="T76" s="185">
        <v>13383948.530000003</v>
      </c>
      <c r="U76" s="9"/>
      <c r="V76" s="9"/>
      <c r="W76" s="9"/>
      <c r="X76" s="424"/>
      <c r="Y76" s="424"/>
      <c r="Z76" s="424"/>
      <c r="AA76" s="571">
        <f t="shared" si="10"/>
        <v>16583959.530000003</v>
      </c>
      <c r="AB76" s="140">
        <f t="shared" si="14"/>
        <v>44651298.540000007</v>
      </c>
      <c r="AC76" s="115">
        <f t="shared" si="11"/>
        <v>-8.6435561266441994</v>
      </c>
      <c r="AD76" s="115">
        <f t="shared" si="12"/>
        <v>-9.2544077382321461</v>
      </c>
      <c r="AE76" s="115">
        <f t="shared" si="13"/>
        <v>-8.8713904043664087</v>
      </c>
      <c r="AF76" s="226"/>
    </row>
    <row r="77" spans="1:32" ht="20.45" customHeight="1">
      <c r="A77" s="135" t="s">
        <v>191</v>
      </c>
      <c r="B77" s="136" t="s">
        <v>192</v>
      </c>
      <c r="C77" s="185">
        <v>24622450.060000002</v>
      </c>
      <c r="D77" s="185">
        <v>8222548.8399999999</v>
      </c>
      <c r="E77" s="138">
        <v>32844998.900000002</v>
      </c>
      <c r="F77" s="185">
        <v>319271</v>
      </c>
      <c r="G77" s="185">
        <v>518278.94999999995</v>
      </c>
      <c r="H77" s="185">
        <v>16583728.640000001</v>
      </c>
      <c r="I77" s="114"/>
      <c r="J77" s="425"/>
      <c r="K77" s="425"/>
      <c r="L77" s="112">
        <v>372705</v>
      </c>
      <c r="M77" s="140">
        <v>17793983.59</v>
      </c>
      <c r="N77" s="140">
        <f t="shared" si="8"/>
        <v>50638982.490000002</v>
      </c>
      <c r="O77" s="185">
        <v>26018846.850000001</v>
      </c>
      <c r="P77" s="185">
        <v>7786470.4299999997</v>
      </c>
      <c r="Q77" s="251">
        <f t="shared" si="9"/>
        <v>33805317.280000001</v>
      </c>
      <c r="R77" s="185">
        <v>931135.35</v>
      </c>
      <c r="S77" s="185">
        <v>430069.25</v>
      </c>
      <c r="T77" s="185">
        <v>22859241.769999996</v>
      </c>
      <c r="U77" s="424">
        <v>16900</v>
      </c>
      <c r="V77" s="9"/>
      <c r="W77" s="9"/>
      <c r="X77" s="424"/>
      <c r="Y77" s="424"/>
      <c r="Z77" s="112">
        <v>198080</v>
      </c>
      <c r="AA77" s="571">
        <f t="shared" si="10"/>
        <v>24435426.369999997</v>
      </c>
      <c r="AB77" s="140">
        <f t="shared" si="14"/>
        <v>58240743.649999999</v>
      </c>
      <c r="AC77" s="115">
        <f t="shared" si="11"/>
        <v>2.923788741548714</v>
      </c>
      <c r="AD77" s="115">
        <f t="shared" si="12"/>
        <v>37.324091856150787</v>
      </c>
      <c r="AE77" s="115">
        <f t="shared" si="13"/>
        <v>15.011678328057171</v>
      </c>
      <c r="AF77" s="226"/>
    </row>
    <row r="78" spans="1:32" ht="20.45" customHeight="1">
      <c r="A78" s="135" t="s">
        <v>193</v>
      </c>
      <c r="B78" s="136" t="s">
        <v>194</v>
      </c>
      <c r="C78" s="185">
        <v>16018358.92</v>
      </c>
      <c r="D78" s="185">
        <v>483653.95000000007</v>
      </c>
      <c r="E78" s="138">
        <v>16502012.869999999</v>
      </c>
      <c r="F78" s="114"/>
      <c r="G78" s="185">
        <v>564209</v>
      </c>
      <c r="H78" s="185">
        <v>12359522.879999999</v>
      </c>
      <c r="I78" s="114"/>
      <c r="J78" s="425"/>
      <c r="K78" s="425"/>
      <c r="L78" s="425">
        <v>3060</v>
      </c>
      <c r="M78" s="140">
        <v>12926791.879999999</v>
      </c>
      <c r="N78" s="140">
        <f t="shared" si="8"/>
        <v>29428804.75</v>
      </c>
      <c r="O78" s="185">
        <v>15789778.010000002</v>
      </c>
      <c r="P78" s="185">
        <v>475664.67</v>
      </c>
      <c r="Q78" s="251">
        <f t="shared" si="9"/>
        <v>16265442.680000002</v>
      </c>
      <c r="R78" s="9"/>
      <c r="S78" s="185">
        <v>1253140</v>
      </c>
      <c r="T78" s="185">
        <v>29320403.899999999</v>
      </c>
      <c r="U78" s="9"/>
      <c r="V78" s="9"/>
      <c r="W78" s="9"/>
      <c r="X78" s="424"/>
      <c r="Y78" s="424"/>
      <c r="Z78" s="112">
        <v>64600.74</v>
      </c>
      <c r="AA78" s="571">
        <f t="shared" si="10"/>
        <v>30638144.639999997</v>
      </c>
      <c r="AB78" s="140">
        <f t="shared" si="14"/>
        <v>46903587.32</v>
      </c>
      <c r="AC78" s="115">
        <f t="shared" si="11"/>
        <v>-1.4335838413389725</v>
      </c>
      <c r="AD78" s="115">
        <f t="shared" si="12"/>
        <v>137.01274782185166</v>
      </c>
      <c r="AE78" s="115">
        <f t="shared" si="13"/>
        <v>59.379858334205707</v>
      </c>
      <c r="AF78" s="226"/>
    </row>
    <row r="79" spans="1:32" ht="20.45" customHeight="1">
      <c r="A79" s="135" t="s">
        <v>195</v>
      </c>
      <c r="B79" s="136" t="s">
        <v>196</v>
      </c>
      <c r="C79" s="185">
        <v>18522657.439999998</v>
      </c>
      <c r="D79" s="185">
        <v>13414952.499999998</v>
      </c>
      <c r="E79" s="138">
        <v>31937609.939999998</v>
      </c>
      <c r="F79" s="185">
        <v>1287963</v>
      </c>
      <c r="G79" s="185">
        <v>531166</v>
      </c>
      <c r="H79" s="185">
        <v>7543826.4499999993</v>
      </c>
      <c r="I79" s="114"/>
      <c r="J79" s="425"/>
      <c r="K79" s="425">
        <v>0</v>
      </c>
      <c r="L79" s="425"/>
      <c r="M79" s="140">
        <v>9362955.4499999993</v>
      </c>
      <c r="N79" s="140">
        <f t="shared" si="8"/>
        <v>41300565.390000001</v>
      </c>
      <c r="O79" s="185">
        <v>18658206.919999998</v>
      </c>
      <c r="P79" s="185">
        <v>4270630.5299999993</v>
      </c>
      <c r="Q79" s="251">
        <f t="shared" si="9"/>
        <v>22928837.449999996</v>
      </c>
      <c r="R79" s="185">
        <v>1682024</v>
      </c>
      <c r="S79" s="185">
        <v>356617</v>
      </c>
      <c r="T79" s="185">
        <v>28552325.240000006</v>
      </c>
      <c r="U79" s="9"/>
      <c r="V79" s="9"/>
      <c r="W79" s="9"/>
      <c r="X79" s="112"/>
      <c r="Y79" s="112"/>
      <c r="Z79" s="424"/>
      <c r="AA79" s="571">
        <f t="shared" si="10"/>
        <v>30590966.240000006</v>
      </c>
      <c r="AB79" s="140">
        <f t="shared" si="14"/>
        <v>53519803.689999998</v>
      </c>
      <c r="AC79" s="115">
        <f t="shared" si="11"/>
        <v>-28.207409718274</v>
      </c>
      <c r="AD79" s="115">
        <f t="shared" si="12"/>
        <v>226.72339843291689</v>
      </c>
      <c r="AE79" s="115">
        <f t="shared" si="13"/>
        <v>29.586128384960585</v>
      </c>
      <c r="AF79" s="226"/>
    </row>
    <row r="80" spans="1:32" ht="20.45" customHeight="1">
      <c r="A80" s="135" t="s">
        <v>197</v>
      </c>
      <c r="B80" s="136" t="s">
        <v>198</v>
      </c>
      <c r="C80" s="185">
        <v>18943057.980000008</v>
      </c>
      <c r="D80" s="185">
        <v>13204347.700000001</v>
      </c>
      <c r="E80" s="138">
        <v>32147405.680000007</v>
      </c>
      <c r="F80" s="185">
        <v>729834</v>
      </c>
      <c r="G80" s="185">
        <v>461154</v>
      </c>
      <c r="H80" s="185">
        <v>7974608.4899999993</v>
      </c>
      <c r="I80" s="114"/>
      <c r="J80" s="425"/>
      <c r="K80" s="425"/>
      <c r="L80" s="425">
        <v>3057600</v>
      </c>
      <c r="M80" s="140">
        <v>12223196.489999998</v>
      </c>
      <c r="N80" s="140">
        <f t="shared" si="8"/>
        <v>44370602.170000002</v>
      </c>
      <c r="O80" s="185">
        <v>17573773.48</v>
      </c>
      <c r="P80" s="185">
        <v>13165758.470000003</v>
      </c>
      <c r="Q80" s="251">
        <f t="shared" si="9"/>
        <v>30739531.950000003</v>
      </c>
      <c r="R80" s="185">
        <v>1922307</v>
      </c>
      <c r="S80" s="185">
        <v>451554.76</v>
      </c>
      <c r="T80" s="185">
        <v>17079466.73</v>
      </c>
      <c r="U80" s="9"/>
      <c r="V80" s="9"/>
      <c r="W80" s="9"/>
      <c r="X80" s="424"/>
      <c r="Y80" s="424"/>
      <c r="Z80" s="112"/>
      <c r="AA80" s="571">
        <f t="shared" si="10"/>
        <v>19453328.490000002</v>
      </c>
      <c r="AB80" s="140">
        <f t="shared" si="14"/>
        <v>50192860.440000005</v>
      </c>
      <c r="AC80" s="115">
        <f t="shared" si="11"/>
        <v>-4.3794318708457718</v>
      </c>
      <c r="AD80" s="115">
        <f t="shared" si="12"/>
        <v>59.150910368781972</v>
      </c>
      <c r="AE80" s="115">
        <f t="shared" si="13"/>
        <v>13.121882474555569</v>
      </c>
      <c r="AF80" s="226"/>
    </row>
    <row r="81" spans="1:63" ht="20.45" customHeight="1">
      <c r="A81" s="135" t="s">
        <v>199</v>
      </c>
      <c r="B81" s="136" t="s">
        <v>302</v>
      </c>
      <c r="C81" s="185">
        <v>27154953.379999999</v>
      </c>
      <c r="D81" s="185">
        <v>6756531.919999999</v>
      </c>
      <c r="E81" s="138">
        <v>33911485.299999997</v>
      </c>
      <c r="F81" s="185">
        <v>3553710</v>
      </c>
      <c r="G81" s="185">
        <v>1213184</v>
      </c>
      <c r="H81" s="185">
        <v>19981102.360000003</v>
      </c>
      <c r="I81" s="114"/>
      <c r="J81" s="112"/>
      <c r="K81" s="425"/>
      <c r="L81" s="425">
        <v>2000</v>
      </c>
      <c r="M81" s="140">
        <v>24749996.360000003</v>
      </c>
      <c r="N81" s="140">
        <f t="shared" si="8"/>
        <v>58661481.659999996</v>
      </c>
      <c r="O81" s="185">
        <v>27221400.750000004</v>
      </c>
      <c r="P81" s="185">
        <v>927342.21</v>
      </c>
      <c r="Q81" s="251">
        <f t="shared" si="9"/>
        <v>28148742.960000005</v>
      </c>
      <c r="R81" s="185">
        <v>4637720</v>
      </c>
      <c r="S81" s="185">
        <v>1334062.1000000001</v>
      </c>
      <c r="T81" s="185">
        <v>40903496.649999991</v>
      </c>
      <c r="U81" s="9"/>
      <c r="V81" s="9"/>
      <c r="W81" s="9"/>
      <c r="X81" s="424"/>
      <c r="Y81" s="424"/>
      <c r="Z81" s="112"/>
      <c r="AA81" s="571">
        <f t="shared" si="10"/>
        <v>46875278.749999993</v>
      </c>
      <c r="AB81" s="140">
        <f t="shared" si="14"/>
        <v>75024021.709999993</v>
      </c>
      <c r="AC81" s="115">
        <f t="shared" si="11"/>
        <v>-16.993482559137547</v>
      </c>
      <c r="AD81" s="115">
        <f t="shared" si="12"/>
        <v>89.395093511035924</v>
      </c>
      <c r="AE81" s="115">
        <f t="shared" si="13"/>
        <v>27.893158486580234</v>
      </c>
      <c r="AF81" s="226"/>
    </row>
    <row r="82" spans="1:63" ht="20.45" customHeight="1">
      <c r="A82" s="135" t="s">
        <v>200</v>
      </c>
      <c r="B82" s="136" t="s">
        <v>201</v>
      </c>
      <c r="C82" s="185">
        <v>15813395.379999999</v>
      </c>
      <c r="D82" s="185">
        <v>21173965.930000011</v>
      </c>
      <c r="E82" s="138">
        <v>36987361.31000001</v>
      </c>
      <c r="F82" s="185">
        <v>320450</v>
      </c>
      <c r="G82" s="185">
        <v>903645</v>
      </c>
      <c r="H82" s="185">
        <v>14097631.740000004</v>
      </c>
      <c r="I82" s="114"/>
      <c r="J82" s="425"/>
      <c r="K82" s="425"/>
      <c r="L82" s="425"/>
      <c r="M82" s="140">
        <v>15321726.740000004</v>
      </c>
      <c r="N82" s="140">
        <f t="shared" si="8"/>
        <v>52309088.050000012</v>
      </c>
      <c r="O82" s="185">
        <v>16585891.73</v>
      </c>
      <c r="P82" s="185">
        <v>24201705.890000015</v>
      </c>
      <c r="Q82" s="251">
        <f t="shared" si="9"/>
        <v>40787597.62000002</v>
      </c>
      <c r="R82" s="185">
        <v>89550</v>
      </c>
      <c r="S82" s="185">
        <v>978121</v>
      </c>
      <c r="T82" s="185">
        <v>24783125.91</v>
      </c>
      <c r="U82" s="9"/>
      <c r="V82" s="9"/>
      <c r="W82" s="9"/>
      <c r="X82" s="424"/>
      <c r="Y82" s="424"/>
      <c r="Z82" s="424"/>
      <c r="AA82" s="571">
        <f t="shared" si="10"/>
        <v>25850796.91</v>
      </c>
      <c r="AB82" s="140">
        <f t="shared" si="14"/>
        <v>66638394.530000016</v>
      </c>
      <c r="AC82" s="115">
        <f t="shared" si="11"/>
        <v>10.274418545700817</v>
      </c>
      <c r="AD82" s="115">
        <f t="shared" si="12"/>
        <v>68.719866557285911</v>
      </c>
      <c r="AE82" s="115">
        <f t="shared" si="13"/>
        <v>27.393531438176165</v>
      </c>
      <c r="AF82" s="226"/>
    </row>
    <row r="83" spans="1:63" ht="20.45" customHeight="1">
      <c r="A83" s="135" t="s">
        <v>202</v>
      </c>
      <c r="B83" s="136" t="s">
        <v>203</v>
      </c>
      <c r="C83" s="185">
        <v>14512052.550000003</v>
      </c>
      <c r="D83" s="185">
        <v>78539284.140000001</v>
      </c>
      <c r="E83" s="138">
        <v>93051336.689999998</v>
      </c>
      <c r="F83" s="185">
        <v>1340564.2</v>
      </c>
      <c r="G83" s="185">
        <v>230967.55</v>
      </c>
      <c r="H83" s="185">
        <v>14820584.889999999</v>
      </c>
      <c r="I83" s="114"/>
      <c r="J83" s="425"/>
      <c r="K83" s="425"/>
      <c r="L83" s="425"/>
      <c r="M83" s="140">
        <v>16392116.639999999</v>
      </c>
      <c r="N83" s="140">
        <f t="shared" si="8"/>
        <v>109443453.33</v>
      </c>
      <c r="O83" s="185">
        <v>16330848.549999999</v>
      </c>
      <c r="P83" s="185">
        <v>103911634.31999993</v>
      </c>
      <c r="Q83" s="251">
        <f t="shared" si="9"/>
        <v>120242482.86999993</v>
      </c>
      <c r="R83" s="185">
        <v>802440</v>
      </c>
      <c r="S83" s="185">
        <v>127699</v>
      </c>
      <c r="T83" s="185">
        <v>17081173.299999997</v>
      </c>
      <c r="U83" s="9"/>
      <c r="V83" s="9"/>
      <c r="W83" s="9"/>
      <c r="X83" s="424"/>
      <c r="Y83" s="424"/>
      <c r="Z83" s="424">
        <v>156250</v>
      </c>
      <c r="AA83" s="571">
        <f t="shared" si="10"/>
        <v>18167562.299999997</v>
      </c>
      <c r="AB83" s="140">
        <f t="shared" si="14"/>
        <v>138410045.16999993</v>
      </c>
      <c r="AC83" s="115">
        <f t="shared" si="11"/>
        <v>29.221661017710133</v>
      </c>
      <c r="AD83" s="115">
        <f t="shared" si="12"/>
        <v>10.831094598653358</v>
      </c>
      <c r="AE83" s="115">
        <f t="shared" si="13"/>
        <v>26.46717638985518</v>
      </c>
      <c r="AF83" s="226"/>
    </row>
    <row r="84" spans="1:63" ht="20.45" customHeight="1">
      <c r="A84" s="135" t="s">
        <v>204</v>
      </c>
      <c r="B84" s="136" t="s">
        <v>205</v>
      </c>
      <c r="C84" s="185">
        <v>25715210.819999997</v>
      </c>
      <c r="D84" s="185">
        <v>22499004.29000001</v>
      </c>
      <c r="E84" s="138">
        <v>48214215.110000007</v>
      </c>
      <c r="F84" s="185">
        <v>3339944</v>
      </c>
      <c r="G84" s="185">
        <v>718905.41</v>
      </c>
      <c r="H84" s="185">
        <v>26115764.150000002</v>
      </c>
      <c r="I84" s="114"/>
      <c r="J84" s="425"/>
      <c r="K84" s="425"/>
      <c r="L84" s="112">
        <v>7258</v>
      </c>
      <c r="M84" s="140">
        <v>30181871.560000002</v>
      </c>
      <c r="N84" s="140">
        <f t="shared" si="8"/>
        <v>78396086.670000017</v>
      </c>
      <c r="O84" s="185">
        <v>26757476.520000003</v>
      </c>
      <c r="P84" s="185">
        <v>17028342.989999991</v>
      </c>
      <c r="Q84" s="251">
        <f t="shared" si="9"/>
        <v>43785819.50999999</v>
      </c>
      <c r="R84" s="185">
        <v>2971030</v>
      </c>
      <c r="S84" s="185">
        <v>2755577.4499999997</v>
      </c>
      <c r="T84" s="185">
        <v>82558606.330000013</v>
      </c>
      <c r="U84" s="9"/>
      <c r="V84" s="9"/>
      <c r="W84" s="9"/>
      <c r="X84" s="424"/>
      <c r="Y84" s="424"/>
      <c r="Z84" s="112"/>
      <c r="AA84" s="571">
        <f t="shared" si="10"/>
        <v>88285213.780000016</v>
      </c>
      <c r="AB84" s="140">
        <f t="shared" si="14"/>
        <v>132071033.29000001</v>
      </c>
      <c r="AC84" s="115">
        <f t="shared" si="11"/>
        <v>-9.184833953838508</v>
      </c>
      <c r="AD84" s="115">
        <f t="shared" si="12"/>
        <v>192.51073315481304</v>
      </c>
      <c r="AE84" s="115">
        <f t="shared" si="13"/>
        <v>68.466359610447086</v>
      </c>
      <c r="AF84" s="226"/>
    </row>
    <row r="85" spans="1:63" ht="20.45" customHeight="1">
      <c r="A85" s="135" t="s">
        <v>206</v>
      </c>
      <c r="B85" s="136" t="s">
        <v>207</v>
      </c>
      <c r="C85" s="185">
        <v>16105436.74</v>
      </c>
      <c r="D85" s="185">
        <v>979099.08000000007</v>
      </c>
      <c r="E85" s="138">
        <v>17084535.82</v>
      </c>
      <c r="F85" s="185">
        <v>285890</v>
      </c>
      <c r="G85" s="185">
        <v>359075</v>
      </c>
      <c r="H85" s="185">
        <v>13558117.159999998</v>
      </c>
      <c r="I85" s="114"/>
      <c r="J85" s="425"/>
      <c r="K85" s="425"/>
      <c r="L85" s="425"/>
      <c r="M85" s="140">
        <v>14203082.159999998</v>
      </c>
      <c r="N85" s="140">
        <f t="shared" si="8"/>
        <v>31287617.979999997</v>
      </c>
      <c r="O85" s="185">
        <v>15783984.439999999</v>
      </c>
      <c r="P85" s="185">
        <v>1639085.74</v>
      </c>
      <c r="Q85" s="251">
        <f t="shared" si="9"/>
        <v>17423070.18</v>
      </c>
      <c r="R85" s="185">
        <v>6825852.25</v>
      </c>
      <c r="S85" s="185">
        <v>603710.5</v>
      </c>
      <c r="T85" s="185">
        <v>83047147.659999982</v>
      </c>
      <c r="U85" s="9"/>
      <c r="V85" s="9"/>
      <c r="W85" s="9"/>
      <c r="X85" s="424"/>
      <c r="Y85" s="424"/>
      <c r="Z85" s="424"/>
      <c r="AA85" s="571">
        <f t="shared" si="10"/>
        <v>90476710.409999982</v>
      </c>
      <c r="AB85" s="140">
        <f t="shared" si="14"/>
        <v>107899780.58999997</v>
      </c>
      <c r="AC85" s="115">
        <f t="shared" si="11"/>
        <v>1.9815250678551908</v>
      </c>
      <c r="AD85" s="115">
        <f t="shared" si="12"/>
        <v>537.02166466943822</v>
      </c>
      <c r="AE85" s="115">
        <f t="shared" si="13"/>
        <v>244.86415891095584</v>
      </c>
      <c r="AF85" s="226"/>
    </row>
    <row r="86" spans="1:63" ht="20.45" customHeight="1">
      <c r="A86" s="135" t="s">
        <v>208</v>
      </c>
      <c r="B86" s="136" t="s">
        <v>209</v>
      </c>
      <c r="C86" s="185">
        <v>17893859.670000002</v>
      </c>
      <c r="D86" s="185">
        <v>3554588.089999998</v>
      </c>
      <c r="E86" s="138">
        <v>21448447.759999998</v>
      </c>
      <c r="F86" s="185">
        <v>354005.5</v>
      </c>
      <c r="G86" s="185">
        <v>335579.05</v>
      </c>
      <c r="H86" s="185">
        <v>16491143.800000001</v>
      </c>
      <c r="I86" s="114"/>
      <c r="J86" s="425"/>
      <c r="K86" s="425"/>
      <c r="L86" s="425"/>
      <c r="M86" s="140">
        <v>17180728.350000001</v>
      </c>
      <c r="N86" s="140">
        <f t="shared" si="8"/>
        <v>38629176.109999999</v>
      </c>
      <c r="O86" s="185">
        <v>20490144.18</v>
      </c>
      <c r="P86" s="185">
        <v>4187524.7799999993</v>
      </c>
      <c r="Q86" s="251">
        <f t="shared" si="9"/>
        <v>24677668.960000001</v>
      </c>
      <c r="R86" s="185"/>
      <c r="S86" s="185">
        <v>208675.7</v>
      </c>
      <c r="T86" s="185">
        <v>23462685.699999999</v>
      </c>
      <c r="U86" s="9"/>
      <c r="V86" s="9"/>
      <c r="W86" s="9"/>
      <c r="X86" s="424"/>
      <c r="Y86" s="424"/>
      <c r="Z86" s="424">
        <v>2706</v>
      </c>
      <c r="AA86" s="571">
        <f t="shared" si="10"/>
        <v>23674067.399999999</v>
      </c>
      <c r="AB86" s="140">
        <f t="shared" si="14"/>
        <v>48351736.359999999</v>
      </c>
      <c r="AC86" s="115">
        <f t="shared" si="11"/>
        <v>15.055733804766499</v>
      </c>
      <c r="AD86" s="115">
        <f t="shared" si="12"/>
        <v>37.794317666398562</v>
      </c>
      <c r="AE86" s="115">
        <f t="shared" si="13"/>
        <v>25.168955771446299</v>
      </c>
      <c r="AF86" s="226"/>
    </row>
    <row r="87" spans="1:63" ht="20.45" customHeight="1">
      <c r="A87" s="135" t="s">
        <v>210</v>
      </c>
      <c r="B87" s="136" t="s">
        <v>211</v>
      </c>
      <c r="C87" s="185">
        <v>18697829.970000006</v>
      </c>
      <c r="D87" s="185">
        <v>1034843.29</v>
      </c>
      <c r="E87" s="138">
        <v>19732673.260000005</v>
      </c>
      <c r="F87" s="185"/>
      <c r="G87" s="185">
        <v>329877.45999999996</v>
      </c>
      <c r="H87" s="185">
        <v>8809958.5999999996</v>
      </c>
      <c r="I87" s="114"/>
      <c r="J87" s="425">
        <v>800337</v>
      </c>
      <c r="K87" s="425"/>
      <c r="L87" s="425">
        <v>4000</v>
      </c>
      <c r="M87" s="140">
        <v>9944173.0599999987</v>
      </c>
      <c r="N87" s="140">
        <f t="shared" si="8"/>
        <v>29676846.320000004</v>
      </c>
      <c r="O87" s="185">
        <v>20287382.760000002</v>
      </c>
      <c r="P87" s="185">
        <v>1039295.7300000001</v>
      </c>
      <c r="Q87" s="251">
        <f t="shared" si="9"/>
        <v>21326678.490000002</v>
      </c>
      <c r="R87" s="9">
        <v>1082155</v>
      </c>
      <c r="S87" s="185">
        <v>1096219.5</v>
      </c>
      <c r="T87" s="185">
        <v>230575938.57000002</v>
      </c>
      <c r="U87" s="9"/>
      <c r="V87" s="9"/>
      <c r="W87" s="185"/>
      <c r="X87" s="424"/>
      <c r="Y87" s="424"/>
      <c r="Z87" s="112"/>
      <c r="AA87" s="571">
        <f t="shared" si="10"/>
        <v>232754313.07000002</v>
      </c>
      <c r="AB87" s="140">
        <f t="shared" si="14"/>
        <v>254080991.56000003</v>
      </c>
      <c r="AC87" s="115">
        <f t="shared" si="11"/>
        <v>8.0779994124323551</v>
      </c>
      <c r="AD87" s="115">
        <f t="shared" si="12"/>
        <v>2240.6100403284822</v>
      </c>
      <c r="AE87" s="115">
        <f t="shared" si="13"/>
        <v>756.15900294893606</v>
      </c>
      <c r="AF87" s="226"/>
    </row>
    <row r="88" spans="1:63" ht="20.45" customHeight="1">
      <c r="A88" s="135" t="s">
        <v>212</v>
      </c>
      <c r="B88" s="136" t="s">
        <v>213</v>
      </c>
      <c r="C88" s="185">
        <v>21295366.690000001</v>
      </c>
      <c r="D88" s="185">
        <v>3657920.7500000005</v>
      </c>
      <c r="E88" s="138">
        <v>24953287.440000001</v>
      </c>
      <c r="F88" s="185">
        <v>1998515</v>
      </c>
      <c r="G88" s="185">
        <v>221770.36000000002</v>
      </c>
      <c r="H88" s="185">
        <v>42516867.599999994</v>
      </c>
      <c r="I88" s="114"/>
      <c r="J88" s="425"/>
      <c r="K88" s="425"/>
      <c r="L88" s="425"/>
      <c r="M88" s="140">
        <v>44737152.959999993</v>
      </c>
      <c r="N88" s="140">
        <f t="shared" si="8"/>
        <v>69690440.399999991</v>
      </c>
      <c r="O88" s="185">
        <v>21014532.75</v>
      </c>
      <c r="P88" s="185">
        <v>3421792.32</v>
      </c>
      <c r="Q88" s="251">
        <f t="shared" si="9"/>
        <v>24436325.07</v>
      </c>
      <c r="R88" s="185">
        <v>3849431</v>
      </c>
      <c r="S88" s="185">
        <v>239646</v>
      </c>
      <c r="T88" s="185">
        <v>126027633.69999996</v>
      </c>
      <c r="U88" s="9"/>
      <c r="V88" s="9"/>
      <c r="W88" s="9"/>
      <c r="X88" s="424"/>
      <c r="Y88" s="424"/>
      <c r="Z88" s="424"/>
      <c r="AA88" s="571">
        <f t="shared" si="10"/>
        <v>130116710.69999996</v>
      </c>
      <c r="AB88" s="140">
        <f t="shared" si="14"/>
        <v>154553035.76999995</v>
      </c>
      <c r="AC88" s="115">
        <f t="shared" si="11"/>
        <v>-2.0717204947165109</v>
      </c>
      <c r="AD88" s="115">
        <f t="shared" si="12"/>
        <v>190.84709707910741</v>
      </c>
      <c r="AE88" s="115">
        <f t="shared" si="13"/>
        <v>121.77078360090256</v>
      </c>
      <c r="AF88" s="226"/>
    </row>
    <row r="89" spans="1:63" ht="20.45" customHeight="1">
      <c r="A89" s="135" t="s">
        <v>214</v>
      </c>
      <c r="B89" s="136" t="s">
        <v>215</v>
      </c>
      <c r="C89" s="185">
        <v>18323538</v>
      </c>
      <c r="D89" s="185">
        <v>1293064.3699999996</v>
      </c>
      <c r="E89" s="138">
        <v>19616602.370000001</v>
      </c>
      <c r="F89" s="185">
        <v>299200</v>
      </c>
      <c r="G89" s="185">
        <v>805201.01</v>
      </c>
      <c r="H89" s="185">
        <v>15658194.85</v>
      </c>
      <c r="I89" s="185"/>
      <c r="J89" s="425"/>
      <c r="K89" s="425"/>
      <c r="L89" s="425"/>
      <c r="M89" s="140">
        <v>16762595.859999999</v>
      </c>
      <c r="N89" s="140">
        <f t="shared" si="8"/>
        <v>36379198.230000004</v>
      </c>
      <c r="O89" s="185">
        <v>20481536.119999994</v>
      </c>
      <c r="P89" s="185">
        <v>568616.43999999994</v>
      </c>
      <c r="Q89" s="251">
        <f t="shared" si="9"/>
        <v>21050152.559999995</v>
      </c>
      <c r="R89" s="185">
        <v>363700</v>
      </c>
      <c r="S89" s="185">
        <v>603479</v>
      </c>
      <c r="T89" s="185">
        <v>33525351.59</v>
      </c>
      <c r="U89" s="9"/>
      <c r="V89" s="9"/>
      <c r="W89" s="9"/>
      <c r="X89" s="424"/>
      <c r="Y89" s="424"/>
      <c r="Z89" s="424"/>
      <c r="AA89" s="571">
        <f t="shared" si="10"/>
        <v>34492530.590000004</v>
      </c>
      <c r="AB89" s="140">
        <f t="shared" si="14"/>
        <v>55542683.149999999</v>
      </c>
      <c r="AC89" s="115">
        <f t="shared" si="11"/>
        <v>7.3078414037302721</v>
      </c>
      <c r="AD89" s="115">
        <f t="shared" si="12"/>
        <v>105.77081782606435</v>
      </c>
      <c r="AE89" s="115">
        <f t="shared" si="13"/>
        <v>52.677040320797616</v>
      </c>
      <c r="AF89" s="226"/>
    </row>
    <row r="90" spans="1:63" ht="20.45" customHeight="1">
      <c r="A90" s="135" t="s">
        <v>216</v>
      </c>
      <c r="B90" s="136" t="s">
        <v>217</v>
      </c>
      <c r="C90" s="185">
        <v>20234801.780000001</v>
      </c>
      <c r="D90" s="185">
        <v>2862744.4600000014</v>
      </c>
      <c r="E90" s="138">
        <v>23097546.240000002</v>
      </c>
      <c r="F90" s="185">
        <v>12350</v>
      </c>
      <c r="G90" s="185">
        <v>107519.92</v>
      </c>
      <c r="H90" s="185">
        <v>19690799.349999998</v>
      </c>
      <c r="I90" s="114"/>
      <c r="J90" s="425"/>
      <c r="K90" s="425"/>
      <c r="L90" s="112"/>
      <c r="M90" s="140">
        <v>19810669.27</v>
      </c>
      <c r="N90" s="140">
        <f t="shared" si="8"/>
        <v>42908215.510000005</v>
      </c>
      <c r="O90" s="185">
        <v>21241281.850000001</v>
      </c>
      <c r="P90" s="185">
        <v>563776.51</v>
      </c>
      <c r="Q90" s="251">
        <f t="shared" si="9"/>
        <v>21805058.360000003</v>
      </c>
      <c r="R90" s="185">
        <v>1096281</v>
      </c>
      <c r="S90" s="185">
        <v>185270</v>
      </c>
      <c r="T90" s="185">
        <v>22409579.690000001</v>
      </c>
      <c r="U90" s="9"/>
      <c r="V90" s="9"/>
      <c r="W90" s="9"/>
      <c r="X90" s="424"/>
      <c r="Y90" s="424"/>
      <c r="Z90" s="424"/>
      <c r="AA90" s="571">
        <f t="shared" si="10"/>
        <v>23691130.690000001</v>
      </c>
      <c r="AB90" s="140">
        <f t="shared" si="14"/>
        <v>45496189.050000004</v>
      </c>
      <c r="AC90" s="115">
        <f t="shared" si="11"/>
        <v>-5.5957800303552885</v>
      </c>
      <c r="AD90" s="115">
        <f t="shared" si="12"/>
        <v>19.587735109365145</v>
      </c>
      <c r="AE90" s="115">
        <f t="shared" si="13"/>
        <v>6.0314173154016553</v>
      </c>
      <c r="AF90" s="226"/>
    </row>
    <row r="91" spans="1:63" ht="20.45" customHeight="1">
      <c r="A91" s="135" t="s">
        <v>218</v>
      </c>
      <c r="B91" s="142" t="s">
        <v>219</v>
      </c>
      <c r="C91" s="185">
        <v>11247483.639999999</v>
      </c>
      <c r="D91" s="185">
        <v>485998.56</v>
      </c>
      <c r="E91" s="138">
        <v>11733482.199999999</v>
      </c>
      <c r="F91" s="185">
        <v>1206952</v>
      </c>
      <c r="G91" s="185">
        <v>122950</v>
      </c>
      <c r="H91" s="185">
        <v>14682176.780000001</v>
      </c>
      <c r="I91" s="114"/>
      <c r="J91" s="425"/>
      <c r="K91" s="112"/>
      <c r="L91" s="112">
        <v>547850</v>
      </c>
      <c r="M91" s="140">
        <v>16559928.780000001</v>
      </c>
      <c r="N91" s="140">
        <f t="shared" si="8"/>
        <v>28293410.98</v>
      </c>
      <c r="O91" s="185">
        <v>13289236.24</v>
      </c>
      <c r="P91" s="185">
        <v>531066.73</v>
      </c>
      <c r="Q91" s="251">
        <f t="shared" si="9"/>
        <v>13820302.970000001</v>
      </c>
      <c r="R91" s="185">
        <v>2680716</v>
      </c>
      <c r="S91" s="185">
        <v>363249</v>
      </c>
      <c r="T91" s="185">
        <v>23186250.59</v>
      </c>
      <c r="U91" s="9"/>
      <c r="V91" s="9"/>
      <c r="W91" s="9"/>
      <c r="X91" s="424"/>
      <c r="Y91" s="424"/>
      <c r="Z91" s="112">
        <v>55200</v>
      </c>
      <c r="AA91" s="571">
        <f t="shared" si="10"/>
        <v>26285415.59</v>
      </c>
      <c r="AB91" s="140">
        <f t="shared" si="14"/>
        <v>40105718.560000002</v>
      </c>
      <c r="AC91" s="115">
        <f t="shared" si="11"/>
        <v>17.78517864031874</v>
      </c>
      <c r="AD91" s="115">
        <f t="shared" si="12"/>
        <v>58.72903766196027</v>
      </c>
      <c r="AE91" s="115">
        <f t="shared" si="13"/>
        <v>41.749323149300963</v>
      </c>
      <c r="AF91" s="226"/>
    </row>
    <row r="92" spans="1:63" ht="20.45" customHeight="1">
      <c r="A92" s="833" t="s">
        <v>295</v>
      </c>
      <c r="B92" s="834"/>
      <c r="C92" s="667">
        <v>1538401319.8799999</v>
      </c>
      <c r="D92" s="667">
        <v>980158809.57000029</v>
      </c>
      <c r="E92" s="668">
        <v>2518560129.4500003</v>
      </c>
      <c r="F92" s="669">
        <v>140977534.98000002</v>
      </c>
      <c r="G92" s="669">
        <v>55583063.049999982</v>
      </c>
      <c r="H92" s="669">
        <v>2086149092.5400012</v>
      </c>
      <c r="I92" s="669">
        <v>4121072.1</v>
      </c>
      <c r="J92" s="670">
        <v>800337</v>
      </c>
      <c r="K92" s="670">
        <v>436560.14</v>
      </c>
      <c r="L92" s="670">
        <v>16599225.35</v>
      </c>
      <c r="M92" s="671">
        <v>2304666885.1600008</v>
      </c>
      <c r="N92" s="671">
        <f t="shared" si="8"/>
        <v>4823227014.6100006</v>
      </c>
      <c r="O92" s="667">
        <f>SUM(O8:O91)</f>
        <v>1623985382.8400002</v>
      </c>
      <c r="P92" s="667">
        <f t="shared" ref="P92:AB92" si="15">SUM(P8:P91)</f>
        <v>1059430148.0699998</v>
      </c>
      <c r="Q92" s="667">
        <f t="shared" si="15"/>
        <v>2683415530.9099994</v>
      </c>
      <c r="R92" s="667">
        <f t="shared" si="15"/>
        <v>200040256.75999999</v>
      </c>
      <c r="S92" s="667">
        <f t="shared" si="15"/>
        <v>67221460.230000004</v>
      </c>
      <c r="T92" s="667">
        <f t="shared" si="15"/>
        <v>10307489314.389999</v>
      </c>
      <c r="U92" s="667">
        <f t="shared" si="15"/>
        <v>4491260.16</v>
      </c>
      <c r="V92" s="667">
        <f t="shared" ref="V92" si="16">SUM(V8:V91)</f>
        <v>3000</v>
      </c>
      <c r="W92" s="667">
        <f t="shared" ref="W92" si="17">SUM(W8:W91)</f>
        <v>14600</v>
      </c>
      <c r="X92" s="672">
        <f t="shared" si="15"/>
        <v>10138441.520000001</v>
      </c>
      <c r="Y92" s="672">
        <f t="shared" si="15"/>
        <v>29312373.809999999</v>
      </c>
      <c r="Z92" s="672">
        <f t="shared" si="15"/>
        <v>20350559.729999997</v>
      </c>
      <c r="AA92" s="672">
        <f t="shared" si="15"/>
        <v>10639061266.599998</v>
      </c>
      <c r="AB92" s="667">
        <f t="shared" si="15"/>
        <v>13322476797.510006</v>
      </c>
      <c r="AC92" s="673"/>
      <c r="AD92" s="673"/>
      <c r="AE92" s="673"/>
      <c r="AF92" s="226"/>
    </row>
    <row r="93" spans="1:63" s="120" customFormat="1" ht="20.45" customHeight="1">
      <c r="A93" s="826" t="s">
        <v>221</v>
      </c>
      <c r="B93" s="827"/>
      <c r="C93" s="827"/>
      <c r="D93" s="827"/>
      <c r="E93" s="827"/>
      <c r="F93" s="827"/>
      <c r="G93" s="827"/>
      <c r="H93" s="827"/>
      <c r="I93" s="827"/>
      <c r="J93" s="827"/>
      <c r="K93" s="827"/>
      <c r="L93" s="827"/>
      <c r="M93" s="827"/>
      <c r="N93" s="827"/>
      <c r="O93" s="827"/>
      <c r="P93" s="828"/>
      <c r="Q93" s="828"/>
      <c r="R93" s="828"/>
      <c r="S93" s="828"/>
      <c r="T93" s="827"/>
      <c r="U93" s="827"/>
      <c r="V93" s="829"/>
      <c r="W93" s="827"/>
      <c r="X93" s="827"/>
      <c r="Y93" s="829"/>
      <c r="Z93" s="827"/>
      <c r="AA93" s="827"/>
      <c r="AB93" s="827"/>
      <c r="AC93" s="827"/>
      <c r="AD93" s="827"/>
      <c r="AE93" s="830"/>
      <c r="AF93" s="226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</row>
    <row r="94" spans="1:63" ht="20.45" customHeight="1">
      <c r="A94" s="135" t="s">
        <v>222</v>
      </c>
      <c r="B94" s="136" t="s">
        <v>296</v>
      </c>
      <c r="C94" s="137">
        <v>13712992.85</v>
      </c>
      <c r="D94" s="137">
        <v>111259.89</v>
      </c>
      <c r="E94" s="138">
        <v>13824252.74</v>
      </c>
      <c r="F94" s="121">
        <v>790017.4</v>
      </c>
      <c r="G94" s="238">
        <v>47224</v>
      </c>
      <c r="H94" s="139">
        <v>3804416.35</v>
      </c>
      <c r="I94" s="141"/>
      <c r="J94" s="141"/>
      <c r="K94" s="61"/>
      <c r="L94" s="61"/>
      <c r="M94" s="239">
        <v>4641657.75</v>
      </c>
      <c r="N94" s="140">
        <f t="shared" si="8"/>
        <v>18465910.490000002</v>
      </c>
      <c r="O94" s="185">
        <v>15341306.770000001</v>
      </c>
      <c r="P94" s="185">
        <v>105126.72</v>
      </c>
      <c r="Q94" s="251">
        <f>SUM(O94:P94)</f>
        <v>15446433.490000002</v>
      </c>
      <c r="R94" s="185">
        <v>741721.88000000012</v>
      </c>
      <c r="S94" s="185">
        <v>219805.99</v>
      </c>
      <c r="T94" s="185">
        <v>3337599.3400000003</v>
      </c>
      <c r="U94" s="9"/>
      <c r="V94" s="9"/>
      <c r="W94" s="9"/>
      <c r="X94" s="9"/>
      <c r="Y94" s="9"/>
      <c r="Z94" s="9"/>
      <c r="AA94" s="140">
        <f>SUM(R94:Z94)</f>
        <v>4299127.2100000009</v>
      </c>
      <c r="AB94" s="140">
        <f>Q94+AA94</f>
        <v>19745560.700000003</v>
      </c>
      <c r="AC94" s="115">
        <f t="shared" ref="AC94:AC104" si="18">(((Q94-E94)/E94)*100)</f>
        <v>11.734310566431397</v>
      </c>
      <c r="AD94" s="115">
        <f t="shared" ref="AD94:AD104" si="19">(((AA94-M94)/M94)*100)</f>
        <v>-7.3794872101459683</v>
      </c>
      <c r="AE94" s="115">
        <f>(((AB94-N94)/N94)*100)</f>
        <v>6.9297975352635905</v>
      </c>
      <c r="AF94" s="226"/>
    </row>
    <row r="95" spans="1:63" ht="20.45" customHeight="1">
      <c r="A95" s="135" t="s">
        <v>223</v>
      </c>
      <c r="B95" s="136" t="s">
        <v>224</v>
      </c>
      <c r="C95" s="137">
        <v>19864892.190000001</v>
      </c>
      <c r="D95" s="137">
        <v>1257365.82</v>
      </c>
      <c r="E95" s="138">
        <v>21122258.010000002</v>
      </c>
      <c r="F95" s="121">
        <v>7250951.3499999996</v>
      </c>
      <c r="G95" s="121">
        <v>3284244.6399999997</v>
      </c>
      <c r="H95" s="139">
        <v>7256708.1000000006</v>
      </c>
      <c r="I95" s="141"/>
      <c r="J95" s="141"/>
      <c r="K95" s="61"/>
      <c r="L95" s="61"/>
      <c r="M95" s="239">
        <v>17791904.09</v>
      </c>
      <c r="N95" s="140">
        <f t="shared" si="8"/>
        <v>38914162.100000001</v>
      </c>
      <c r="O95" s="185">
        <v>19467493.289999999</v>
      </c>
      <c r="P95" s="185">
        <v>1230719.7700000003</v>
      </c>
      <c r="Q95" s="251">
        <f t="shared" ref="Q95:Q104" si="20">SUM(O95:P95)</f>
        <v>20698213.059999999</v>
      </c>
      <c r="R95" s="185">
        <v>4459180.26</v>
      </c>
      <c r="S95" s="185">
        <v>3386154.0700000003</v>
      </c>
      <c r="T95" s="185">
        <v>9524271.9199999999</v>
      </c>
      <c r="U95" s="9"/>
      <c r="V95" s="9"/>
      <c r="W95" s="9"/>
      <c r="X95" s="9"/>
      <c r="Y95" s="9"/>
      <c r="Z95" s="9"/>
      <c r="AA95" s="140">
        <f t="shared" ref="AA95:AA104" si="21">SUM(R95:Z95)</f>
        <v>17369606.25</v>
      </c>
      <c r="AB95" s="140">
        <f>Q95+AA95</f>
        <v>38067819.310000002</v>
      </c>
      <c r="AC95" s="115">
        <f t="shared" si="18"/>
        <v>-2.0075739525539626</v>
      </c>
      <c r="AD95" s="115">
        <f t="shared" si="19"/>
        <v>-2.3735393236373943</v>
      </c>
      <c r="AE95" s="115">
        <f>(((AB95-N95)/N95)*100)</f>
        <v>-2.1748966040309501</v>
      </c>
      <c r="AF95" s="226"/>
    </row>
    <row r="96" spans="1:63" ht="20.45" customHeight="1">
      <c r="A96" s="135" t="s">
        <v>225</v>
      </c>
      <c r="B96" s="136" t="s">
        <v>226</v>
      </c>
      <c r="C96" s="137">
        <v>17357539.309999995</v>
      </c>
      <c r="D96" s="137">
        <v>156357.07</v>
      </c>
      <c r="E96" s="138">
        <v>17513896.379999995</v>
      </c>
      <c r="F96" s="238"/>
      <c r="G96" s="121"/>
      <c r="H96" s="139">
        <v>2441586.92</v>
      </c>
      <c r="I96" s="141"/>
      <c r="J96" s="141"/>
      <c r="K96" s="61"/>
      <c r="L96" s="61"/>
      <c r="M96" s="239">
        <v>2441586.92</v>
      </c>
      <c r="N96" s="140">
        <f t="shared" si="8"/>
        <v>19955483.299999997</v>
      </c>
      <c r="O96" s="185">
        <v>21600281.919999998</v>
      </c>
      <c r="P96" s="185">
        <v>127230.34999999999</v>
      </c>
      <c r="Q96" s="251">
        <f t="shared" si="20"/>
        <v>21727512.27</v>
      </c>
      <c r="R96" s="9"/>
      <c r="S96" s="424">
        <v>19640</v>
      </c>
      <c r="T96" s="185">
        <v>3725521.55</v>
      </c>
      <c r="U96" s="9"/>
      <c r="V96" s="9"/>
      <c r="W96" s="9"/>
      <c r="X96" s="9"/>
      <c r="Y96" s="9"/>
      <c r="Z96" s="9"/>
      <c r="AA96" s="140">
        <f t="shared" si="21"/>
        <v>3745161.55</v>
      </c>
      <c r="AB96" s="140">
        <f t="shared" ref="AB96:AB104" si="22">Q96+AA96</f>
        <v>25472673.82</v>
      </c>
      <c r="AC96" s="115">
        <f t="shared" si="18"/>
        <v>24.058700580253205</v>
      </c>
      <c r="AD96" s="115">
        <f t="shared" si="19"/>
        <v>53.390465820483669</v>
      </c>
      <c r="AE96" s="115">
        <f>(((AB96-N96)/N96)*100)</f>
        <v>27.647491353917768</v>
      </c>
      <c r="AF96" s="226"/>
    </row>
    <row r="97" spans="1:63" ht="20.45" customHeight="1">
      <c r="A97" s="135" t="s">
        <v>227</v>
      </c>
      <c r="B97" s="136" t="s">
        <v>228</v>
      </c>
      <c r="C97" s="137">
        <v>25583965.739999998</v>
      </c>
      <c r="D97" s="137">
        <v>414914.51</v>
      </c>
      <c r="E97" s="138">
        <v>25998880.25</v>
      </c>
      <c r="F97" s="121">
        <v>458674</v>
      </c>
      <c r="G97" s="121">
        <v>204239.5</v>
      </c>
      <c r="H97" s="139">
        <v>3992519</v>
      </c>
      <c r="I97" s="141"/>
      <c r="J97" s="141"/>
      <c r="K97" s="61"/>
      <c r="L97" s="61"/>
      <c r="M97" s="239">
        <v>4655432.5</v>
      </c>
      <c r="N97" s="140">
        <f t="shared" si="8"/>
        <v>30654312.75</v>
      </c>
      <c r="O97" s="185">
        <v>26189979.02</v>
      </c>
      <c r="P97" s="185">
        <v>353352.98999999976</v>
      </c>
      <c r="Q97" s="251">
        <f t="shared" si="20"/>
        <v>26543332.009999998</v>
      </c>
      <c r="R97" s="185">
        <v>114882</v>
      </c>
      <c r="S97" s="185">
        <v>187725.24</v>
      </c>
      <c r="T97" s="185">
        <v>5844923.5800000001</v>
      </c>
      <c r="U97" s="9"/>
      <c r="V97" s="9"/>
      <c r="W97" s="9"/>
      <c r="X97" s="9"/>
      <c r="Y97" s="9"/>
      <c r="Z97" s="9"/>
      <c r="AA97" s="140">
        <f t="shared" si="21"/>
        <v>6147530.8200000003</v>
      </c>
      <c r="AB97" s="140">
        <f t="shared" si="22"/>
        <v>32690862.829999998</v>
      </c>
      <c r="AC97" s="115">
        <f t="shared" si="18"/>
        <v>2.0941354195436857</v>
      </c>
      <c r="AD97" s="115">
        <f t="shared" si="19"/>
        <v>32.050691745611182</v>
      </c>
      <c r="AE97" s="115">
        <f>(((AB97-N97)/N97)*100)</f>
        <v>6.64360051588499</v>
      </c>
      <c r="AF97" s="226"/>
    </row>
    <row r="98" spans="1:63" ht="20.45" customHeight="1">
      <c r="A98" s="135" t="s">
        <v>229</v>
      </c>
      <c r="B98" s="136" t="s">
        <v>230</v>
      </c>
      <c r="C98" s="137">
        <v>3773273.3699999996</v>
      </c>
      <c r="D98" s="143"/>
      <c r="E98" s="138">
        <v>3773273.3699999996</v>
      </c>
      <c r="F98" s="141">
        <v>16950</v>
      </c>
      <c r="G98" s="121">
        <v>158716.40000000002</v>
      </c>
      <c r="H98" s="139">
        <v>475948</v>
      </c>
      <c r="I98" s="141"/>
      <c r="J98" s="141"/>
      <c r="K98" s="61"/>
      <c r="L98" s="61"/>
      <c r="M98" s="239">
        <v>651614.4</v>
      </c>
      <c r="N98" s="140">
        <f t="shared" si="8"/>
        <v>4424887.7699999996</v>
      </c>
      <c r="O98" s="185">
        <v>3852888.04</v>
      </c>
      <c r="P98" s="9"/>
      <c r="Q98" s="251">
        <f t="shared" si="20"/>
        <v>3852888.04</v>
      </c>
      <c r="R98" s="185">
        <v>4900</v>
      </c>
      <c r="S98" s="185">
        <v>198172.41</v>
      </c>
      <c r="T98" s="185">
        <v>433790</v>
      </c>
      <c r="U98" s="9"/>
      <c r="V98" s="9"/>
      <c r="W98" s="9"/>
      <c r="X98" s="9"/>
      <c r="Y98" s="9"/>
      <c r="Z98" s="9"/>
      <c r="AA98" s="140">
        <f t="shared" si="21"/>
        <v>636862.41</v>
      </c>
      <c r="AB98" s="140">
        <f t="shared" si="22"/>
        <v>4489750.45</v>
      </c>
      <c r="AC98" s="115">
        <f t="shared" si="18"/>
        <v>2.1099629471055366</v>
      </c>
      <c r="AD98" s="115">
        <f t="shared" si="19"/>
        <v>-2.2639140571479066</v>
      </c>
      <c r="AE98" s="115">
        <f>(((AB98-N98)/N98)*100)</f>
        <v>1.4658604550325269</v>
      </c>
    </row>
    <row r="99" spans="1:63" ht="20.45" customHeight="1">
      <c r="A99" s="135" t="s">
        <v>231</v>
      </c>
      <c r="B99" s="136" t="s">
        <v>232</v>
      </c>
      <c r="C99" s="137">
        <v>3.637978807091713E-12</v>
      </c>
      <c r="D99" s="143"/>
      <c r="E99" s="138">
        <v>3.637978807091713E-12</v>
      </c>
      <c r="F99" s="141"/>
      <c r="G99" s="141"/>
      <c r="H99" s="61"/>
      <c r="I99" s="141"/>
      <c r="J99" s="141"/>
      <c r="K99" s="61"/>
      <c r="L99" s="61"/>
      <c r="M99" s="239">
        <v>0</v>
      </c>
      <c r="N99" s="140">
        <f t="shared" si="8"/>
        <v>3.637978807091713E-12</v>
      </c>
      <c r="O99" s="185">
        <v>0</v>
      </c>
      <c r="P99" s="7"/>
      <c r="Q99" s="251">
        <f t="shared" si="20"/>
        <v>0</v>
      </c>
      <c r="R99" s="7"/>
      <c r="S99" s="7"/>
      <c r="T99" s="7"/>
      <c r="U99" s="7"/>
      <c r="V99" s="7"/>
      <c r="W99" s="114"/>
      <c r="X99" s="114"/>
      <c r="Y99" s="114"/>
      <c r="Z99" s="114"/>
      <c r="AA99" s="140">
        <f t="shared" si="21"/>
        <v>0</v>
      </c>
      <c r="AB99" s="140">
        <f t="shared" si="22"/>
        <v>0</v>
      </c>
      <c r="AC99" s="115">
        <f t="shared" si="18"/>
        <v>-100</v>
      </c>
      <c r="AD99" s="115">
        <v>-100</v>
      </c>
      <c r="AE99" s="115">
        <v>-100</v>
      </c>
      <c r="AF99" s="226"/>
    </row>
    <row r="100" spans="1:63" ht="20.45" customHeight="1">
      <c r="A100" s="135" t="s">
        <v>233</v>
      </c>
      <c r="B100" s="136" t="s">
        <v>297</v>
      </c>
      <c r="C100" s="137">
        <v>2755920.74</v>
      </c>
      <c r="D100" s="137">
        <v>9508.68</v>
      </c>
      <c r="E100" s="138">
        <v>2765429.4200000004</v>
      </c>
      <c r="F100" s="121">
        <v>112637</v>
      </c>
      <c r="G100" s="121">
        <v>321176.15000000002</v>
      </c>
      <c r="H100" s="139">
        <v>1356965.17</v>
      </c>
      <c r="I100" s="141"/>
      <c r="J100" s="141"/>
      <c r="K100" s="61"/>
      <c r="L100" s="61"/>
      <c r="M100" s="239">
        <v>1790778.3199999998</v>
      </c>
      <c r="N100" s="140">
        <f t="shared" si="8"/>
        <v>4556207.74</v>
      </c>
      <c r="O100" s="185">
        <v>3061740.96</v>
      </c>
      <c r="P100" s="185">
        <v>2710.12</v>
      </c>
      <c r="Q100" s="251">
        <f t="shared" si="20"/>
        <v>3064451.08</v>
      </c>
      <c r="R100" s="185">
        <v>105000</v>
      </c>
      <c r="S100" s="185">
        <v>515576.35</v>
      </c>
      <c r="T100" s="185">
        <v>917799.15999999992</v>
      </c>
      <c r="U100" s="9"/>
      <c r="V100" s="9"/>
      <c r="W100" s="9"/>
      <c r="X100" s="9"/>
      <c r="Y100" s="9"/>
      <c r="Z100" s="9"/>
      <c r="AA100" s="140">
        <f t="shared" si="21"/>
        <v>1538375.5099999998</v>
      </c>
      <c r="AB100" s="140">
        <f t="shared" si="22"/>
        <v>4602826.59</v>
      </c>
      <c r="AC100" s="115">
        <f t="shared" si="18"/>
        <v>10.812847286480363</v>
      </c>
      <c r="AD100" s="115">
        <f t="shared" si="19"/>
        <v>-14.094587095514989</v>
      </c>
      <c r="AE100" s="115">
        <f>(((AB100-N100)/N100)*100)</f>
        <v>1.0231941267893028</v>
      </c>
      <c r="AF100" s="226"/>
    </row>
    <row r="101" spans="1:63" ht="20.45" customHeight="1">
      <c r="A101" s="135" t="s">
        <v>234</v>
      </c>
      <c r="B101" s="136" t="s">
        <v>298</v>
      </c>
      <c r="C101" s="137">
        <v>2133084.63</v>
      </c>
      <c r="D101" s="137">
        <v>1100</v>
      </c>
      <c r="E101" s="138">
        <v>2134184.63</v>
      </c>
      <c r="F101" s="138">
        <v>17900</v>
      </c>
      <c r="G101" s="121">
        <v>92565</v>
      </c>
      <c r="H101" s="139">
        <v>198178.87</v>
      </c>
      <c r="I101" s="141"/>
      <c r="J101" s="141"/>
      <c r="K101" s="61"/>
      <c r="L101" s="61"/>
      <c r="M101" s="239">
        <v>308643.87</v>
      </c>
      <c r="N101" s="140">
        <f t="shared" si="8"/>
        <v>2442828.5</v>
      </c>
      <c r="O101" s="185">
        <v>1683707.8199999998</v>
      </c>
      <c r="P101" s="185">
        <v>1099.9999999999998</v>
      </c>
      <c r="Q101" s="251">
        <f t="shared" si="20"/>
        <v>1684807.8199999998</v>
      </c>
      <c r="R101" s="185">
        <v>24100</v>
      </c>
      <c r="S101" s="185">
        <v>196970</v>
      </c>
      <c r="T101" s="185">
        <v>215822</v>
      </c>
      <c r="U101" s="9"/>
      <c r="V101" s="9"/>
      <c r="W101" s="9"/>
      <c r="X101" s="9"/>
      <c r="Y101" s="9"/>
      <c r="Z101" s="9"/>
      <c r="AA101" s="140">
        <f t="shared" si="21"/>
        <v>436892</v>
      </c>
      <c r="AB101" s="140">
        <f t="shared" si="22"/>
        <v>2121699.8199999998</v>
      </c>
      <c r="AC101" s="115">
        <f t="shared" si="18"/>
        <v>-21.056135616532863</v>
      </c>
      <c r="AD101" s="115">
        <f t="shared" si="19"/>
        <v>41.552139039728864</v>
      </c>
      <c r="AE101" s="115">
        <f>(((AB101-N101)/N101)*100)</f>
        <v>-13.145772615637984</v>
      </c>
      <c r="AF101" s="226"/>
    </row>
    <row r="102" spans="1:63" ht="20.45" customHeight="1">
      <c r="A102" s="135" t="s">
        <v>235</v>
      </c>
      <c r="B102" s="136" t="s">
        <v>236</v>
      </c>
      <c r="C102" s="137">
        <v>3511037.7800000003</v>
      </c>
      <c r="D102" s="137">
        <v>18570.149999999998</v>
      </c>
      <c r="E102" s="138">
        <v>3529607.93</v>
      </c>
      <c r="F102" s="121">
        <v>943968.6</v>
      </c>
      <c r="G102" s="121">
        <v>7736</v>
      </c>
      <c r="H102" s="139">
        <v>737057.05</v>
      </c>
      <c r="I102" s="141"/>
      <c r="J102" s="141"/>
      <c r="K102" s="61"/>
      <c r="L102" s="240"/>
      <c r="M102" s="239">
        <v>1688761.65</v>
      </c>
      <c r="N102" s="140">
        <f t="shared" si="8"/>
        <v>5218369.58</v>
      </c>
      <c r="O102" s="185">
        <v>3071344.95</v>
      </c>
      <c r="P102" s="185">
        <v>18570.21</v>
      </c>
      <c r="Q102" s="251">
        <f t="shared" si="20"/>
        <v>3089915.16</v>
      </c>
      <c r="R102" s="185">
        <v>938511</v>
      </c>
      <c r="S102" s="185">
        <v>134310</v>
      </c>
      <c r="T102" s="185">
        <v>767091.95</v>
      </c>
      <c r="U102" s="9"/>
      <c r="V102" s="9"/>
      <c r="W102" s="9"/>
      <c r="X102" s="9"/>
      <c r="Y102" s="9"/>
      <c r="Z102" s="9"/>
      <c r="AA102" s="140">
        <f t="shared" si="21"/>
        <v>1839912.95</v>
      </c>
      <c r="AB102" s="140">
        <f t="shared" si="22"/>
        <v>4929828.1100000003</v>
      </c>
      <c r="AC102" s="115">
        <f t="shared" si="18"/>
        <v>-12.457269439555004</v>
      </c>
      <c r="AD102" s="115">
        <f t="shared" si="19"/>
        <v>8.950422340535745</v>
      </c>
      <c r="AE102" s="115">
        <f>(((AB102-N102)/N102)*100)</f>
        <v>-5.5293414078195617</v>
      </c>
      <c r="AF102" s="226"/>
    </row>
    <row r="103" spans="1:63" ht="20.45" customHeight="1">
      <c r="A103" s="135" t="s">
        <v>237</v>
      </c>
      <c r="B103" s="136" t="s">
        <v>238</v>
      </c>
      <c r="C103" s="137">
        <v>22497767.630000006</v>
      </c>
      <c r="D103" s="137">
        <v>16039440.419999998</v>
      </c>
      <c r="E103" s="138">
        <v>38537208.050000004</v>
      </c>
      <c r="F103" s="121">
        <v>507011</v>
      </c>
      <c r="G103" s="121">
        <v>120833</v>
      </c>
      <c r="H103" s="139">
        <v>49222526.688699916</v>
      </c>
      <c r="I103" s="141"/>
      <c r="J103" s="141"/>
      <c r="K103" s="61"/>
      <c r="L103" s="61"/>
      <c r="M103" s="239">
        <v>49850370.688699916</v>
      </c>
      <c r="N103" s="140">
        <f t="shared" si="8"/>
        <v>88387578.738699913</v>
      </c>
      <c r="O103" s="185">
        <v>21339473.100000106</v>
      </c>
      <c r="P103" s="185">
        <v>21390198.390000004</v>
      </c>
      <c r="Q103" s="251">
        <f t="shared" si="20"/>
        <v>42729671.490000114</v>
      </c>
      <c r="R103" s="185">
        <v>180660</v>
      </c>
      <c r="S103" s="185">
        <v>192219</v>
      </c>
      <c r="T103" s="185">
        <v>16418513.019999998</v>
      </c>
      <c r="U103" s="9"/>
      <c r="V103" s="9"/>
      <c r="W103" s="9"/>
      <c r="X103" s="9"/>
      <c r="Y103" s="9"/>
      <c r="Z103" s="9"/>
      <c r="AA103" s="140">
        <f t="shared" si="21"/>
        <v>16791392.019999996</v>
      </c>
      <c r="AB103" s="140">
        <f t="shared" si="22"/>
        <v>59521063.51000011</v>
      </c>
      <c r="AC103" s="115">
        <f t="shared" si="18"/>
        <v>10.879001495283749</v>
      </c>
      <c r="AD103" s="115">
        <f t="shared" si="19"/>
        <v>-66.316414927268994</v>
      </c>
      <c r="AE103" s="115">
        <f>(((AB103-N103)/N103)*100)</f>
        <v>-32.659017975860436</v>
      </c>
      <c r="AF103" s="226"/>
    </row>
    <row r="104" spans="1:63" ht="20.45" customHeight="1">
      <c r="A104" s="135" t="s">
        <v>239</v>
      </c>
      <c r="B104" s="136" t="s">
        <v>299</v>
      </c>
      <c r="C104" s="137">
        <v>7793844.1499999985</v>
      </c>
      <c r="D104" s="137">
        <v>680889.16000000027</v>
      </c>
      <c r="E104" s="138">
        <v>8474733.3099999987</v>
      </c>
      <c r="F104" s="141"/>
      <c r="G104" s="121">
        <v>556118</v>
      </c>
      <c r="H104" s="139">
        <v>4486183.72</v>
      </c>
      <c r="I104" s="238"/>
      <c r="J104" s="238"/>
      <c r="K104" s="240"/>
      <c r="L104" s="240"/>
      <c r="M104" s="239">
        <v>5042301.72</v>
      </c>
      <c r="N104" s="140">
        <f t="shared" si="8"/>
        <v>13517035.029999997</v>
      </c>
      <c r="O104" s="185">
        <v>7891830.2599999988</v>
      </c>
      <c r="P104" s="185">
        <v>555553.1</v>
      </c>
      <c r="Q104" s="251">
        <f t="shared" si="20"/>
        <v>8447383.3599999994</v>
      </c>
      <c r="R104" s="9"/>
      <c r="S104" s="185">
        <v>509949</v>
      </c>
      <c r="T104" s="185">
        <v>3813970.1100000003</v>
      </c>
      <c r="U104" s="9"/>
      <c r="V104" s="9"/>
      <c r="W104" s="9"/>
      <c r="X104" s="9"/>
      <c r="Y104" s="9"/>
      <c r="Z104" s="9"/>
      <c r="AA104" s="140">
        <f t="shared" si="21"/>
        <v>4323919.1100000003</v>
      </c>
      <c r="AB104" s="140">
        <f t="shared" si="22"/>
        <v>12771302.469999999</v>
      </c>
      <c r="AC104" s="115">
        <f t="shared" si="18"/>
        <v>-0.32272342974765844</v>
      </c>
      <c r="AD104" s="115">
        <f t="shared" si="19"/>
        <v>-14.247116691779393</v>
      </c>
      <c r="AE104" s="115">
        <f>(((AB104-N104)/N104)*100)</f>
        <v>-5.5169832610842819</v>
      </c>
      <c r="AF104" s="226"/>
    </row>
    <row r="105" spans="1:63" s="158" customFormat="1" ht="20.45" customHeight="1">
      <c r="A105" s="824" t="s">
        <v>303</v>
      </c>
      <c r="B105" s="825"/>
      <c r="C105" s="277">
        <v>118984318.38999999</v>
      </c>
      <c r="D105" s="277">
        <v>18689405.699999999</v>
      </c>
      <c r="E105" s="138">
        <v>137673724.09</v>
      </c>
      <c r="F105" s="278">
        <v>10098109.35</v>
      </c>
      <c r="G105" s="278">
        <v>4792852.6899999995</v>
      </c>
      <c r="H105" s="279">
        <v>73972089.868699908</v>
      </c>
      <c r="I105" s="278">
        <v>0</v>
      </c>
      <c r="J105" s="278">
        <v>0</v>
      </c>
      <c r="K105" s="279">
        <v>0</v>
      </c>
      <c r="L105" s="279">
        <v>0</v>
      </c>
      <c r="M105" s="280">
        <v>88863051.9086999</v>
      </c>
      <c r="N105" s="140">
        <f t="shared" si="8"/>
        <v>226536775.9986999</v>
      </c>
      <c r="O105" s="276">
        <f>SUM(O94:O104)</f>
        <v>123500046.1300001</v>
      </c>
      <c r="P105" s="276">
        <f t="shared" ref="P105:AB105" si="23">SUM(P94:P104)</f>
        <v>23784561.650000006</v>
      </c>
      <c r="Q105" s="276">
        <f t="shared" si="23"/>
        <v>147284607.78000009</v>
      </c>
      <c r="R105" s="276">
        <f t="shared" si="23"/>
        <v>6568955.1399999997</v>
      </c>
      <c r="S105" s="276">
        <f t="shared" si="23"/>
        <v>5560522.0600000005</v>
      </c>
      <c r="T105" s="276">
        <f t="shared" si="23"/>
        <v>44999302.629999995</v>
      </c>
      <c r="U105" s="276">
        <f t="shared" si="23"/>
        <v>0</v>
      </c>
      <c r="V105" s="276"/>
      <c r="W105" s="276">
        <f t="shared" si="23"/>
        <v>0</v>
      </c>
      <c r="X105" s="276">
        <f t="shared" si="23"/>
        <v>0</v>
      </c>
      <c r="Y105" s="276">
        <f t="shared" si="23"/>
        <v>0</v>
      </c>
      <c r="Z105" s="276">
        <f t="shared" si="23"/>
        <v>0</v>
      </c>
      <c r="AA105" s="276">
        <f t="shared" si="23"/>
        <v>57128779.829999998</v>
      </c>
      <c r="AB105" s="276">
        <f t="shared" si="23"/>
        <v>204413387.6100001</v>
      </c>
      <c r="AC105" s="281"/>
      <c r="AD105" s="281"/>
      <c r="AE105" s="281"/>
      <c r="AF105" s="226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</row>
    <row r="106" spans="1:63" s="163" customFormat="1" ht="21" customHeight="1" thickBot="1">
      <c r="A106" s="831" t="s">
        <v>350</v>
      </c>
      <c r="B106" s="832"/>
      <c r="C106" s="159">
        <v>1599175780.7700019</v>
      </c>
      <c r="D106" s="159">
        <v>698743754.62999976</v>
      </c>
      <c r="E106" s="160">
        <v>2297919535.4000025</v>
      </c>
      <c r="F106" s="160">
        <v>2305886.2999999998</v>
      </c>
      <c r="G106" s="160">
        <v>6882139.5699999994</v>
      </c>
      <c r="H106" s="161">
        <v>30609527.408415262</v>
      </c>
      <c r="I106" s="160">
        <v>0</v>
      </c>
      <c r="J106" s="160">
        <v>101252990.52</v>
      </c>
      <c r="K106" s="161">
        <v>12390714.630000003</v>
      </c>
      <c r="L106" s="241">
        <v>3937640.66</v>
      </c>
      <c r="M106" s="242">
        <v>2946422967.3184142</v>
      </c>
      <c r="N106" s="161">
        <v>5244342502.7184172</v>
      </c>
      <c r="O106" s="159">
        <f t="shared" ref="O106:Z106" si="24">SUM(O92,O105)</f>
        <v>1747485428.9700003</v>
      </c>
      <c r="P106" s="159">
        <f>SUM(P92,P105)</f>
        <v>1083214709.7199998</v>
      </c>
      <c r="Q106" s="159">
        <f>SUM(Q92,Q105)</f>
        <v>2830700138.6899996</v>
      </c>
      <c r="R106" s="159">
        <f t="shared" si="24"/>
        <v>206609211.89999998</v>
      </c>
      <c r="S106" s="159">
        <f t="shared" si="24"/>
        <v>72781982.290000007</v>
      </c>
      <c r="T106" s="159">
        <f t="shared" si="24"/>
        <v>10352488617.019999</v>
      </c>
      <c r="U106" s="159">
        <f t="shared" si="24"/>
        <v>4491260.16</v>
      </c>
      <c r="V106" s="159">
        <f t="shared" si="24"/>
        <v>3000</v>
      </c>
      <c r="W106" s="159">
        <f t="shared" si="24"/>
        <v>14600</v>
      </c>
      <c r="X106" s="159">
        <f t="shared" si="24"/>
        <v>10138441.520000001</v>
      </c>
      <c r="Y106" s="159"/>
      <c r="Z106" s="159">
        <f t="shared" si="24"/>
        <v>20350559.729999997</v>
      </c>
      <c r="AA106" s="161">
        <f>AA92+AA105</f>
        <v>10696190046.429998</v>
      </c>
      <c r="AB106" s="161">
        <f>AB92+AB105</f>
        <v>13526890185.120007</v>
      </c>
      <c r="AC106" s="162"/>
      <c r="AD106" s="162"/>
      <c r="AE106" s="162"/>
      <c r="AF106" s="226"/>
      <c r="AG106" s="403"/>
      <c r="AH106" s="403"/>
      <c r="AI106" s="403"/>
      <c r="AJ106" s="403"/>
      <c r="AK106" s="403"/>
      <c r="AL106" s="403"/>
      <c r="AM106" s="403"/>
      <c r="AN106" s="403"/>
      <c r="AO106" s="403"/>
      <c r="AP106" s="403"/>
      <c r="AQ106" s="403"/>
      <c r="AR106" s="403"/>
      <c r="AS106" s="403"/>
      <c r="AT106" s="403"/>
      <c r="AU106" s="403"/>
      <c r="AV106" s="403"/>
      <c r="AW106" s="403"/>
      <c r="AX106" s="403"/>
      <c r="AY106" s="403"/>
      <c r="AZ106" s="403"/>
      <c r="BA106" s="403"/>
      <c r="BB106" s="403"/>
      <c r="BC106" s="403"/>
      <c r="BD106" s="403"/>
      <c r="BE106" s="403"/>
      <c r="BF106" s="403"/>
      <c r="BG106" s="403"/>
      <c r="BH106" s="403"/>
      <c r="BI106" s="403"/>
      <c r="BJ106" s="403"/>
      <c r="BK106" s="403"/>
    </row>
    <row r="107" spans="1:63">
      <c r="O107" s="148"/>
      <c r="P107" s="148"/>
      <c r="Q107" s="148"/>
      <c r="R107" s="148"/>
      <c r="S107" s="148"/>
      <c r="T107" s="148"/>
      <c r="U107" s="149"/>
      <c r="V107" s="149"/>
      <c r="W107" s="150"/>
      <c r="X107" s="151"/>
      <c r="Y107" s="151"/>
      <c r="Z107" s="151"/>
      <c r="AA107" s="151"/>
    </row>
    <row r="108" spans="1:63" ht="26.25">
      <c r="C108" s="152"/>
      <c r="N108" s="153"/>
      <c r="O108" s="663"/>
      <c r="P108" s="663"/>
      <c r="Q108" s="663"/>
      <c r="R108" s="663"/>
      <c r="S108" s="663"/>
      <c r="T108" s="663"/>
      <c r="U108" s="664"/>
      <c r="V108" s="664"/>
      <c r="W108" s="665"/>
      <c r="X108" s="666"/>
      <c r="Y108" s="666"/>
      <c r="Z108" s="666"/>
      <c r="AB108" s="179"/>
    </row>
    <row r="109" spans="1:63">
      <c r="L109" s="228"/>
      <c r="T109" s="156"/>
      <c r="U109" s="147"/>
      <c r="V109" s="147"/>
      <c r="W109" s="157"/>
    </row>
    <row r="110" spans="1:63" ht="28.5">
      <c r="B110" s="227"/>
      <c r="L110" s="228"/>
      <c r="O110" s="154"/>
      <c r="P110" s="154"/>
      <c r="Q110" s="154"/>
      <c r="R110" s="154"/>
      <c r="S110" s="154"/>
    </row>
    <row r="111" spans="1:63">
      <c r="L111" s="228"/>
    </row>
    <row r="112" spans="1:63">
      <c r="L112" s="228"/>
    </row>
    <row r="113" spans="12:12" s="25" customFormat="1">
      <c r="L113" s="228"/>
    </row>
    <row r="114" spans="12:12" s="25" customFormat="1">
      <c r="L114" s="228"/>
    </row>
    <row r="115" spans="12:12" s="25" customFormat="1">
      <c r="L115" s="228"/>
    </row>
    <row r="116" spans="12:12" s="25" customFormat="1">
      <c r="L116" s="228"/>
    </row>
  </sheetData>
  <sortState ref="L109:L115">
    <sortCondition descending="1" ref="L109"/>
  </sortState>
  <mergeCells count="20">
    <mergeCell ref="AA3:AE3"/>
    <mergeCell ref="F5:N5"/>
    <mergeCell ref="C4:N4"/>
    <mergeCell ref="R5:AA5"/>
    <mergeCell ref="A1:AE1"/>
    <mergeCell ref="A2:AE2"/>
    <mergeCell ref="A4:A6"/>
    <mergeCell ref="B4:B6"/>
    <mergeCell ref="O4:AA4"/>
    <mergeCell ref="AB4:AB6"/>
    <mergeCell ref="C5:E5"/>
    <mergeCell ref="O5:Q5"/>
    <mergeCell ref="AC4:AC6"/>
    <mergeCell ref="AD4:AD6"/>
    <mergeCell ref="AE4:AE6"/>
    <mergeCell ref="A105:B105"/>
    <mergeCell ref="A93:AE93"/>
    <mergeCell ref="A106:B106"/>
    <mergeCell ref="A92:B92"/>
    <mergeCell ref="A7:AE7"/>
  </mergeCells>
  <pageMargins left="0.15748031496062992" right="0.15748031496062992" top="0.62992125984251968" bottom="0.35433070866141736" header="0.27559055118110237" footer="0.19685039370078741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view="pageBreakPreview" zoomScale="90" zoomScaleNormal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9" sqref="H9"/>
    </sheetView>
  </sheetViews>
  <sheetFormatPr defaultColWidth="8.85546875" defaultRowHeight="18.75"/>
  <cols>
    <col min="1" max="1" width="7.140625" style="8" customWidth="1"/>
    <col min="2" max="2" width="32.42578125" style="8" customWidth="1"/>
    <col min="3" max="3" width="14.85546875" style="122" customWidth="1"/>
    <col min="4" max="4" width="15.140625" style="122" customWidth="1"/>
    <col min="5" max="5" width="13.5703125" style="122" customWidth="1"/>
    <col min="6" max="6" width="15" style="122" customWidth="1"/>
    <col min="7" max="7" width="15.140625" style="122" customWidth="1"/>
    <col min="8" max="8" width="16.28515625" style="122" customWidth="1"/>
    <col min="9" max="9" width="10.28515625" style="8" customWidth="1"/>
    <col min="10" max="10" width="9.85546875" style="8" customWidth="1"/>
    <col min="11" max="11" width="13.28515625" style="8" customWidth="1"/>
    <col min="12" max="12" width="14.85546875" style="78" customWidth="1"/>
    <col min="13" max="13" width="14.7109375" style="215" bestFit="1" customWidth="1"/>
    <col min="14" max="14" width="16.5703125" style="215" bestFit="1" customWidth="1"/>
    <col min="15" max="16384" width="8.85546875" style="8"/>
  </cols>
  <sheetData>
    <row r="1" spans="1:14" ht="23.25">
      <c r="A1" s="863" t="s">
        <v>304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4" ht="23.25">
      <c r="A2" s="863" t="s">
        <v>518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</row>
    <row r="3" spans="1:14" ht="19.5" thickBot="1">
      <c r="J3" s="871"/>
      <c r="K3" s="871"/>
      <c r="L3" s="871" t="s">
        <v>481</v>
      </c>
      <c r="M3" s="871"/>
    </row>
    <row r="4" spans="1:14">
      <c r="A4" s="864" t="s">
        <v>305</v>
      </c>
      <c r="B4" s="866" t="s">
        <v>306</v>
      </c>
      <c r="C4" s="868" t="s">
        <v>545</v>
      </c>
      <c r="D4" s="868"/>
      <c r="E4" s="868"/>
      <c r="F4" s="868" t="s">
        <v>544</v>
      </c>
      <c r="G4" s="868"/>
      <c r="H4" s="868"/>
      <c r="I4" s="866" t="s">
        <v>270</v>
      </c>
      <c r="J4" s="866"/>
      <c r="K4" s="869"/>
    </row>
    <row r="5" spans="1:14">
      <c r="A5" s="865"/>
      <c r="B5" s="867"/>
      <c r="C5" s="870" t="s">
        <v>289</v>
      </c>
      <c r="D5" s="870" t="s">
        <v>291</v>
      </c>
      <c r="E5" s="870" t="s">
        <v>1</v>
      </c>
      <c r="F5" s="870" t="s">
        <v>289</v>
      </c>
      <c r="G5" s="870" t="s">
        <v>291</v>
      </c>
      <c r="H5" s="870" t="s">
        <v>1</v>
      </c>
      <c r="I5" s="874" t="s">
        <v>307</v>
      </c>
      <c r="J5" s="874" t="s">
        <v>308</v>
      </c>
      <c r="K5" s="875" t="s">
        <v>309</v>
      </c>
    </row>
    <row r="6" spans="1:14" ht="57" customHeight="1">
      <c r="A6" s="865"/>
      <c r="B6" s="867"/>
      <c r="C6" s="870"/>
      <c r="D6" s="870"/>
      <c r="E6" s="870"/>
      <c r="F6" s="870"/>
      <c r="G6" s="870"/>
      <c r="H6" s="870"/>
      <c r="I6" s="874"/>
      <c r="J6" s="874"/>
      <c r="K6" s="875"/>
    </row>
    <row r="7" spans="1:14">
      <c r="A7" s="123">
        <v>1</v>
      </c>
      <c r="B7" s="257" t="s">
        <v>13</v>
      </c>
      <c r="C7" s="109">
        <v>178014686.19999999</v>
      </c>
      <c r="D7" s="124"/>
      <c r="E7" s="124">
        <f>SUM(C7:D7)</f>
        <v>178014686.19999999</v>
      </c>
      <c r="F7" s="109">
        <v>175006797.87</v>
      </c>
      <c r="G7" s="124"/>
      <c r="H7" s="124">
        <f>SUM(F7:G7)</f>
        <v>175006797.87</v>
      </c>
      <c r="I7" s="126">
        <f>(((F7-C7)/C7)*100)</f>
        <v>-1.6896854940499755</v>
      </c>
      <c r="J7" s="575">
        <v>0</v>
      </c>
      <c r="K7" s="125">
        <f t="shared" ref="K7" si="0">(((H7-E7)/E7)*100)</f>
        <v>-1.6896854940499755</v>
      </c>
    </row>
    <row r="8" spans="1:14">
      <c r="A8" s="123">
        <v>2</v>
      </c>
      <c r="B8" s="257" t="s">
        <v>16</v>
      </c>
      <c r="C8" s="109">
        <v>2140246.16</v>
      </c>
      <c r="D8" s="109"/>
      <c r="E8" s="124">
        <f t="shared" ref="E8:E14" si="1">SUM(C8:D8)</f>
        <v>2140246.16</v>
      </c>
      <c r="F8" s="109">
        <f>'ตารางที่ 2'!S105</f>
        <v>2124433.4700000016</v>
      </c>
      <c r="G8" s="109"/>
      <c r="H8" s="124">
        <f t="shared" ref="H8:H14" si="2">SUM(F8:G8)</f>
        <v>2124433.4700000016</v>
      </c>
      <c r="I8" s="573">
        <f t="shared" ref="I8" si="3">(((F8-C8)/C8)*100)</f>
        <v>-0.73882576198611405</v>
      </c>
      <c r="J8" s="576">
        <v>0</v>
      </c>
      <c r="K8" s="574">
        <f t="shared" ref="K8:K13" si="4">(((H8-E8)/E8)*100)</f>
        <v>-0.73882576198611405</v>
      </c>
    </row>
    <row r="9" spans="1:14">
      <c r="A9" s="123">
        <v>3</v>
      </c>
      <c r="B9" s="257" t="s">
        <v>14</v>
      </c>
      <c r="C9" s="124"/>
      <c r="D9" s="124">
        <v>82157022.230000004</v>
      </c>
      <c r="E9" s="124">
        <f t="shared" si="1"/>
        <v>82157022.230000004</v>
      </c>
      <c r="F9" s="124"/>
      <c r="G9" s="124">
        <f>'ตารางที่ 2'!P105</f>
        <v>70827444.949999988</v>
      </c>
      <c r="H9" s="124">
        <f t="shared" si="2"/>
        <v>70827444.949999988</v>
      </c>
      <c r="I9" s="573">
        <v>0</v>
      </c>
      <c r="J9" s="576">
        <f t="shared" ref="J9:J13" si="5">(((G9-D9)/D9)*100)</f>
        <v>-13.790150826404915</v>
      </c>
      <c r="K9" s="574">
        <f t="shared" si="4"/>
        <v>-13.790150826404915</v>
      </c>
      <c r="L9" s="402"/>
    </row>
    <row r="10" spans="1:14">
      <c r="A10" s="123">
        <v>4</v>
      </c>
      <c r="B10" s="257" t="s">
        <v>15</v>
      </c>
      <c r="C10" s="124"/>
      <c r="D10" s="124">
        <v>24048769</v>
      </c>
      <c r="E10" s="124">
        <f t="shared" si="1"/>
        <v>24048769</v>
      </c>
      <c r="F10" s="124"/>
      <c r="G10" s="124">
        <f>'ตารางที่ 2'!Q105</f>
        <v>25519232.000000007</v>
      </c>
      <c r="H10" s="124">
        <f t="shared" si="2"/>
        <v>25519232.000000007</v>
      </c>
      <c r="I10" s="573">
        <v>0</v>
      </c>
      <c r="J10" s="576">
        <f t="shared" si="5"/>
        <v>6.1145042392814677</v>
      </c>
      <c r="K10" s="574">
        <f t="shared" si="4"/>
        <v>6.1145042392814677</v>
      </c>
    </row>
    <row r="11" spans="1:14">
      <c r="A11" s="123">
        <v>5</v>
      </c>
      <c r="B11" s="257" t="s">
        <v>310</v>
      </c>
      <c r="C11" s="124"/>
      <c r="D11" s="124">
        <v>136899773.08000001</v>
      </c>
      <c r="E11" s="124">
        <f t="shared" si="1"/>
        <v>136899773.08000001</v>
      </c>
      <c r="F11" s="124"/>
      <c r="G11" s="124">
        <f>'ตารางที่ 2'!R105</f>
        <v>409326702.48000002</v>
      </c>
      <c r="H11" s="124">
        <f t="shared" si="2"/>
        <v>409326702.48000002</v>
      </c>
      <c r="I11" s="573">
        <v>0</v>
      </c>
      <c r="J11" s="576">
        <f t="shared" si="5"/>
        <v>198.99735643886135</v>
      </c>
      <c r="K11" s="574">
        <f t="shared" si="4"/>
        <v>198.99735643886135</v>
      </c>
    </row>
    <row r="12" spans="1:14">
      <c r="A12" s="123">
        <v>6</v>
      </c>
      <c r="B12" s="257" t="s">
        <v>311</v>
      </c>
      <c r="C12" s="124"/>
      <c r="D12" s="124">
        <v>9000000</v>
      </c>
      <c r="E12" s="124">
        <f t="shared" si="1"/>
        <v>9000000</v>
      </c>
      <c r="F12" s="124"/>
      <c r="G12" s="124">
        <f>'ตารางที่ 2'!T105</f>
        <v>9000000</v>
      </c>
      <c r="H12" s="124">
        <f t="shared" si="2"/>
        <v>9000000</v>
      </c>
      <c r="I12" s="573">
        <v>0</v>
      </c>
      <c r="J12" s="576">
        <f t="shared" si="5"/>
        <v>0</v>
      </c>
      <c r="K12" s="574">
        <f t="shared" si="4"/>
        <v>0</v>
      </c>
    </row>
    <row r="13" spans="1:14">
      <c r="A13" s="123">
        <v>7</v>
      </c>
      <c r="B13" s="257" t="s">
        <v>18</v>
      </c>
      <c r="C13" s="124"/>
      <c r="D13" s="124">
        <v>3000000</v>
      </c>
      <c r="E13" s="124">
        <f t="shared" si="1"/>
        <v>3000000</v>
      </c>
      <c r="F13" s="124"/>
      <c r="G13" s="124">
        <f>'ตารางที่ 2'!U105</f>
        <v>3000000</v>
      </c>
      <c r="H13" s="124">
        <f t="shared" si="2"/>
        <v>3000000</v>
      </c>
      <c r="I13" s="573">
        <v>0</v>
      </c>
      <c r="J13" s="576">
        <f t="shared" si="5"/>
        <v>0</v>
      </c>
      <c r="K13" s="574">
        <f t="shared" si="4"/>
        <v>0</v>
      </c>
    </row>
    <row r="14" spans="1:14">
      <c r="A14" s="123">
        <v>8</v>
      </c>
      <c r="B14" s="257" t="s">
        <v>20</v>
      </c>
      <c r="C14" s="124"/>
      <c r="D14" s="124">
        <v>0</v>
      </c>
      <c r="E14" s="124">
        <f t="shared" si="1"/>
        <v>0</v>
      </c>
      <c r="F14" s="124"/>
      <c r="G14" s="124">
        <f>'ตารางที่ 2'!V105</f>
        <v>1236561.6999999995</v>
      </c>
      <c r="H14" s="124">
        <f t="shared" si="2"/>
        <v>1236561.6999999995</v>
      </c>
      <c r="I14" s="573">
        <v>0</v>
      </c>
      <c r="J14" s="576">
        <v>100</v>
      </c>
      <c r="K14" s="574">
        <v>100</v>
      </c>
    </row>
    <row r="15" spans="1:14" s="12" customFormat="1" ht="19.5" thickBot="1">
      <c r="A15" s="872" t="s">
        <v>1</v>
      </c>
      <c r="B15" s="873"/>
      <c r="C15" s="127">
        <f>SUM(C7:C14)</f>
        <v>180154932.35999998</v>
      </c>
      <c r="D15" s="127">
        <f>SUM(D7:D14)</f>
        <v>255105564.31</v>
      </c>
      <c r="E15" s="127">
        <f>SUM(C15:D15)</f>
        <v>435260496.66999996</v>
      </c>
      <c r="F15" s="127">
        <f>SUM(F7:F14)</f>
        <v>177131231.34</v>
      </c>
      <c r="G15" s="127">
        <f>SUM(G7:G14)</f>
        <v>518909941.13</v>
      </c>
      <c r="H15" s="127">
        <f>SUM(F15:G15)</f>
        <v>696041172.47000003</v>
      </c>
      <c r="L15" s="78"/>
      <c r="M15" s="215"/>
      <c r="N15" s="215"/>
    </row>
    <row r="18" spans="2:2" s="8" customFormat="1">
      <c r="B18" s="122"/>
    </row>
    <row r="19" spans="2:2" s="8" customFormat="1">
      <c r="B19" s="122"/>
    </row>
    <row r="20" spans="2:2" s="8" customFormat="1" ht="19.5" customHeight="1">
      <c r="B20" s="122"/>
    </row>
    <row r="21" spans="2:2" s="8" customFormat="1">
      <c r="B21" s="15"/>
    </row>
  </sheetData>
  <mergeCells count="19">
    <mergeCell ref="L3:M3"/>
    <mergeCell ref="A15:B15"/>
    <mergeCell ref="F5:F6"/>
    <mergeCell ref="G5:G6"/>
    <mergeCell ref="H5:H6"/>
    <mergeCell ref="I5:I6"/>
    <mergeCell ref="J5:J6"/>
    <mergeCell ref="E5:E6"/>
    <mergeCell ref="K5:K6"/>
    <mergeCell ref="A1:K1"/>
    <mergeCell ref="A2:K2"/>
    <mergeCell ref="A4:A6"/>
    <mergeCell ref="B4:B6"/>
    <mergeCell ref="C4:E4"/>
    <mergeCell ref="F4:H4"/>
    <mergeCell ref="I4:K4"/>
    <mergeCell ref="C5:C6"/>
    <mergeCell ref="D5:D6"/>
    <mergeCell ref="J3:K3"/>
  </mergeCells>
  <pageMargins left="0.39370078740157483" right="0.2755905511811023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topLeftCell="A16" zoomScale="90" zoomScaleSheetLayoutView="90" workbookViewId="0">
      <selection activeCell="D5" sqref="D5"/>
    </sheetView>
  </sheetViews>
  <sheetFormatPr defaultColWidth="8.85546875" defaultRowHeight="21" customHeight="1"/>
  <cols>
    <col min="1" max="1" width="12.42578125" style="6" bestFit="1" customWidth="1"/>
    <col min="2" max="2" width="44.140625" style="6" customWidth="1"/>
    <col min="3" max="3" width="23.28515625" style="6" customWidth="1"/>
    <col min="4" max="4" width="21" style="6" bestFit="1" customWidth="1"/>
    <col min="5" max="5" width="8.85546875" style="6"/>
    <col min="6" max="6" width="19" style="6" customWidth="1"/>
    <col min="7" max="7" width="32.28515625" style="662" customWidth="1"/>
    <col min="8" max="16384" width="8.85546875" style="6"/>
  </cols>
  <sheetData>
    <row r="1" spans="1:4" ht="21" customHeight="1">
      <c r="A1" s="64" t="s">
        <v>43</v>
      </c>
      <c r="B1" s="75"/>
    </row>
    <row r="2" spans="1:4" ht="21" customHeight="1">
      <c r="A2" s="75"/>
      <c r="B2" s="75" t="s">
        <v>44</v>
      </c>
      <c r="D2" s="564">
        <v>249680223850.58456</v>
      </c>
    </row>
    <row r="3" spans="1:4" ht="21" customHeight="1">
      <c r="A3" s="421">
        <v>5101030208</v>
      </c>
      <c r="B3" s="421" t="s">
        <v>445</v>
      </c>
      <c r="C3" s="85">
        <v>6300</v>
      </c>
      <c r="D3" s="674"/>
    </row>
    <row r="4" spans="1:4" ht="21" customHeight="1">
      <c r="A4" s="421" t="s">
        <v>490</v>
      </c>
      <c r="B4" s="421" t="s">
        <v>491</v>
      </c>
      <c r="C4" s="85">
        <v>29100</v>
      </c>
      <c r="D4" s="674"/>
    </row>
    <row r="5" spans="1:4" ht="21" customHeight="1">
      <c r="A5" s="421" t="s">
        <v>314</v>
      </c>
      <c r="B5" s="421" t="s">
        <v>22</v>
      </c>
      <c r="C5" s="85">
        <v>885099081.9600004</v>
      </c>
      <c r="D5" s="674"/>
    </row>
    <row r="6" spans="1:4" ht="21" customHeight="1">
      <c r="A6" s="421" t="s">
        <v>315</v>
      </c>
      <c r="B6" s="421" t="s">
        <v>23</v>
      </c>
      <c r="C6" s="85">
        <v>2484400.6</v>
      </c>
      <c r="D6" s="674"/>
    </row>
    <row r="7" spans="1:4" ht="21" customHeight="1">
      <c r="A7" s="421" t="s">
        <v>316</v>
      </c>
      <c r="B7" s="421" t="s">
        <v>24</v>
      </c>
      <c r="C7" s="85">
        <v>7391087.8499999996</v>
      </c>
      <c r="D7" s="674"/>
    </row>
    <row r="8" spans="1:4" ht="21" customHeight="1">
      <c r="A8" s="421" t="s">
        <v>317</v>
      </c>
      <c r="B8" s="421" t="s">
        <v>25</v>
      </c>
      <c r="C8" s="85">
        <v>130175273.53999996</v>
      </c>
      <c r="D8" s="674"/>
    </row>
    <row r="9" spans="1:4" ht="21" customHeight="1">
      <c r="A9" s="421" t="s">
        <v>318</v>
      </c>
      <c r="B9" s="421" t="s">
        <v>26</v>
      </c>
      <c r="C9" s="85">
        <v>10705167.200000001</v>
      </c>
      <c r="D9" s="674"/>
    </row>
    <row r="10" spans="1:4" ht="21" customHeight="1">
      <c r="A10" s="421" t="s">
        <v>319</v>
      </c>
      <c r="B10" s="421" t="s">
        <v>27</v>
      </c>
      <c r="C10" s="85">
        <v>41340593.25999999</v>
      </c>
      <c r="D10" s="674"/>
    </row>
    <row r="11" spans="1:4" ht="21" customHeight="1">
      <c r="A11" s="421" t="s">
        <v>320</v>
      </c>
      <c r="B11" s="421" t="s">
        <v>28</v>
      </c>
      <c r="C11" s="85">
        <v>56126834.050000004</v>
      </c>
      <c r="D11" s="674"/>
    </row>
    <row r="12" spans="1:4" ht="21" customHeight="1">
      <c r="A12" s="421" t="s">
        <v>321</v>
      </c>
      <c r="B12" s="421" t="s">
        <v>29</v>
      </c>
      <c r="C12" s="85">
        <v>4563034.0199999996</v>
      </c>
      <c r="D12" s="674"/>
    </row>
    <row r="13" spans="1:4" ht="21" customHeight="1">
      <c r="A13" s="421" t="s">
        <v>322</v>
      </c>
      <c r="B13" s="421" t="s">
        <v>30</v>
      </c>
      <c r="C13" s="85">
        <v>23716993.68</v>
      </c>
      <c r="D13" s="674"/>
    </row>
    <row r="14" spans="1:4" ht="21" customHeight="1">
      <c r="A14" s="421" t="s">
        <v>323</v>
      </c>
      <c r="B14" s="421" t="s">
        <v>31</v>
      </c>
      <c r="C14" s="85">
        <v>24573.739999999998</v>
      </c>
      <c r="D14" s="674"/>
    </row>
    <row r="15" spans="1:4" ht="21" customHeight="1">
      <c r="A15" s="421" t="s">
        <v>324</v>
      </c>
      <c r="B15" s="421" t="s">
        <v>32</v>
      </c>
      <c r="C15" s="85">
        <v>1646713.75</v>
      </c>
      <c r="D15" s="674"/>
    </row>
    <row r="16" spans="1:4" ht="21" customHeight="1">
      <c r="A16" s="421" t="s">
        <v>325</v>
      </c>
      <c r="B16" s="421" t="s">
        <v>33</v>
      </c>
      <c r="C16" s="85">
        <v>110798987.55000001</v>
      </c>
      <c r="D16" s="674"/>
    </row>
    <row r="17" spans="1:4" ht="21" customHeight="1">
      <c r="A17" s="421" t="s">
        <v>326</v>
      </c>
      <c r="B17" s="421" t="s">
        <v>34</v>
      </c>
      <c r="C17" s="85">
        <v>32829777.199999981</v>
      </c>
      <c r="D17" s="674"/>
    </row>
    <row r="18" spans="1:4" ht="21" customHeight="1">
      <c r="A18" s="421" t="s">
        <v>327</v>
      </c>
      <c r="B18" s="421" t="s">
        <v>35</v>
      </c>
      <c r="C18" s="85">
        <v>2168785</v>
      </c>
      <c r="D18" s="674"/>
    </row>
    <row r="19" spans="1:4" ht="21" customHeight="1">
      <c r="A19" s="421" t="s">
        <v>328</v>
      </c>
      <c r="B19" s="421" t="s">
        <v>36</v>
      </c>
      <c r="C19" s="85">
        <v>1457325.16</v>
      </c>
      <c r="D19" s="674"/>
    </row>
    <row r="20" spans="1:4" ht="21" customHeight="1">
      <c r="A20" s="421" t="s">
        <v>446</v>
      </c>
      <c r="B20" s="421" t="s">
        <v>447</v>
      </c>
      <c r="C20" s="85">
        <v>90830</v>
      </c>
      <c r="D20" s="674"/>
    </row>
    <row r="21" spans="1:4" ht="21" customHeight="1">
      <c r="A21" s="421" t="s">
        <v>329</v>
      </c>
      <c r="B21" s="421" t="s">
        <v>37</v>
      </c>
      <c r="C21" s="85">
        <v>38369944.800000019</v>
      </c>
      <c r="D21" s="674"/>
    </row>
    <row r="22" spans="1:4" ht="21" customHeight="1">
      <c r="A22" s="421" t="s">
        <v>330</v>
      </c>
      <c r="B22" s="421" t="s">
        <v>38</v>
      </c>
      <c r="C22" s="85">
        <v>116725077738.38797</v>
      </c>
      <c r="D22" s="674"/>
    </row>
    <row r="23" spans="1:4" ht="21" customHeight="1">
      <c r="A23" s="421" t="s">
        <v>331</v>
      </c>
      <c r="B23" s="421" t="s">
        <v>39</v>
      </c>
      <c r="C23" s="85">
        <v>209397950.67999992</v>
      </c>
      <c r="D23" s="674"/>
    </row>
    <row r="24" spans="1:4" ht="21" customHeight="1">
      <c r="A24" s="421" t="s">
        <v>332</v>
      </c>
      <c r="B24" s="421" t="s">
        <v>40</v>
      </c>
      <c r="C24" s="85">
        <v>115603802290.51009</v>
      </c>
      <c r="D24" s="674"/>
    </row>
    <row r="25" spans="1:4" ht="21" customHeight="1">
      <c r="A25" s="421" t="s">
        <v>448</v>
      </c>
      <c r="B25" s="421" t="s">
        <v>449</v>
      </c>
      <c r="C25" s="85">
        <v>966803</v>
      </c>
      <c r="D25" s="674"/>
    </row>
    <row r="26" spans="1:4" ht="21" customHeight="1">
      <c r="A26" s="421" t="s">
        <v>333</v>
      </c>
      <c r="B26" s="421" t="s">
        <v>41</v>
      </c>
      <c r="C26" s="85">
        <v>1537398181.2099993</v>
      </c>
      <c r="D26" s="674"/>
    </row>
    <row r="27" spans="1:4" ht="21" customHeight="1">
      <c r="A27" s="421" t="s">
        <v>334</v>
      </c>
      <c r="B27" s="421" t="s">
        <v>42</v>
      </c>
      <c r="C27" s="85">
        <v>31624725.850000046</v>
      </c>
      <c r="D27" s="748">
        <f>SUM(C3:C27)</f>
        <v>235457292492.99805</v>
      </c>
    </row>
    <row r="28" spans="1:4" ht="21" customHeight="1" thickBot="1">
      <c r="B28" s="76" t="s">
        <v>45</v>
      </c>
      <c r="D28" s="176">
        <f>D2-D27</f>
        <v>14222931357.586517</v>
      </c>
    </row>
    <row r="29" spans="1:4" ht="21" customHeight="1" thickTop="1"/>
    <row r="31" spans="1:4" ht="21" customHeight="1">
      <c r="D31" s="183"/>
    </row>
  </sheetData>
  <pageMargins left="0.3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5"/>
  <sheetViews>
    <sheetView view="pageBreakPreview" zoomScale="80" zoomScaleNormal="70" zoomScaleSheetLayoutView="80" workbookViewId="0">
      <pane xSplit="2" ySplit="6" topLeftCell="L94" activePane="bottomRight" state="frozen"/>
      <selection pane="topRight" activeCell="C1" sqref="C1"/>
      <selection pane="bottomLeft" activeCell="A7" sqref="A7"/>
      <selection pane="bottomRight" activeCell="N105" sqref="N105"/>
    </sheetView>
  </sheetViews>
  <sheetFormatPr defaultColWidth="13.7109375" defaultRowHeight="20.45" customHeight="1"/>
  <cols>
    <col min="1" max="1" width="11.5703125" style="175" customWidth="1"/>
    <col min="2" max="2" width="30" style="230" customWidth="1"/>
    <col min="3" max="3" width="16.5703125" style="175" customWidth="1"/>
    <col min="4" max="4" width="14.7109375" style="175" customWidth="1"/>
    <col min="5" max="5" width="14.5703125" style="233" customWidth="1"/>
    <col min="6" max="6" width="18.7109375" style="175" bestFit="1" customWidth="1"/>
    <col min="7" max="7" width="16.85546875" style="175" customWidth="1"/>
    <col min="8" max="8" width="13.42578125" style="175" customWidth="1"/>
    <col min="9" max="9" width="13.28515625" style="175" customWidth="1"/>
    <col min="10" max="10" width="13.7109375" style="175" customWidth="1"/>
    <col min="11" max="11" width="15" style="149" customWidth="1"/>
    <col min="12" max="12" width="13.28515625" style="149" customWidth="1"/>
    <col min="13" max="13" width="14.42578125" style="149" customWidth="1"/>
    <col min="14" max="14" width="17.42578125" style="175" bestFit="1" customWidth="1"/>
    <col min="15" max="15" width="14.85546875" style="175" bestFit="1" customWidth="1"/>
    <col min="16" max="16" width="16.140625" style="175" customWidth="1"/>
    <col min="17" max="17" width="13.5703125" style="175" bestFit="1" customWidth="1"/>
    <col min="18" max="18" width="15.7109375" style="175" customWidth="1"/>
    <col min="19" max="19" width="13.5703125" style="175" customWidth="1"/>
    <col min="20" max="20" width="14.42578125" style="175" customWidth="1"/>
    <col min="21" max="21" width="12.85546875" style="175" customWidth="1"/>
    <col min="22" max="22" width="12.42578125" style="175" bestFit="1" customWidth="1"/>
    <col min="23" max="23" width="14.5703125" style="175" customWidth="1"/>
    <col min="24" max="24" width="17.7109375" style="175" customWidth="1"/>
    <col min="25" max="25" width="16.28515625" style="219" bestFit="1" customWidth="1"/>
    <col min="26" max="26" width="14.85546875" style="219" bestFit="1" customWidth="1"/>
    <col min="27" max="27" width="16.28515625" style="219" bestFit="1" customWidth="1"/>
    <col min="28" max="30" width="4.85546875" style="219" bestFit="1" customWidth="1"/>
    <col min="31" max="16384" width="13.7109375" style="175"/>
  </cols>
  <sheetData>
    <row r="1" spans="1:31" s="167" customFormat="1" ht="20.45" customHeight="1">
      <c r="A1" s="783" t="s">
        <v>46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222"/>
      <c r="Z1" s="222"/>
      <c r="AA1" s="222"/>
      <c r="AB1" s="222"/>
      <c r="AC1" s="222"/>
      <c r="AD1" s="222"/>
    </row>
    <row r="2" spans="1:31" s="167" customFormat="1" ht="20.45" customHeight="1">
      <c r="A2" s="783" t="s">
        <v>487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222"/>
      <c r="Z2" s="222"/>
      <c r="AA2" s="222"/>
      <c r="AB2" s="222"/>
      <c r="AC2" s="222"/>
      <c r="AD2" s="222"/>
    </row>
    <row r="3" spans="1:31" s="167" customFormat="1" ht="20.45" customHeight="1">
      <c r="A3" s="172"/>
      <c r="B3" s="173"/>
      <c r="D3" s="234"/>
      <c r="K3" s="422"/>
      <c r="L3" s="422"/>
      <c r="M3" s="422"/>
      <c r="Y3" s="222"/>
      <c r="Z3" s="222"/>
      <c r="AA3" s="222"/>
      <c r="AB3" s="222"/>
      <c r="AC3" s="222"/>
      <c r="AD3" s="222"/>
    </row>
    <row r="4" spans="1:31" s="167" customFormat="1" ht="17.25">
      <c r="A4" s="779" t="s">
        <v>47</v>
      </c>
      <c r="B4" s="781" t="s">
        <v>48</v>
      </c>
      <c r="C4" s="786" t="s">
        <v>49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8"/>
      <c r="O4" s="786" t="s">
        <v>50</v>
      </c>
      <c r="P4" s="787"/>
      <c r="Q4" s="787"/>
      <c r="R4" s="787"/>
      <c r="S4" s="787"/>
      <c r="T4" s="787"/>
      <c r="U4" s="787"/>
      <c r="V4" s="787"/>
      <c r="W4" s="788"/>
      <c r="X4" s="784" t="s">
        <v>51</v>
      </c>
      <c r="Y4" s="222"/>
      <c r="Z4" s="222"/>
      <c r="AA4" s="222"/>
      <c r="AB4" s="222"/>
      <c r="AC4" s="222"/>
      <c r="AD4" s="222"/>
    </row>
    <row r="5" spans="1:31" s="167" customFormat="1" ht="69">
      <c r="A5" s="780"/>
      <c r="B5" s="782"/>
      <c r="C5" s="243" t="s">
        <v>13</v>
      </c>
      <c r="D5" s="244" t="s">
        <v>14</v>
      </c>
      <c r="E5" s="243" t="s">
        <v>15</v>
      </c>
      <c r="F5" s="244" t="s">
        <v>450</v>
      </c>
      <c r="G5" s="244" t="s">
        <v>52</v>
      </c>
      <c r="H5" s="134" t="s">
        <v>18</v>
      </c>
      <c r="I5" s="134" t="s">
        <v>488</v>
      </c>
      <c r="J5" s="134" t="s">
        <v>451</v>
      </c>
      <c r="K5" s="423" t="s">
        <v>19</v>
      </c>
      <c r="L5" s="423" t="s">
        <v>492</v>
      </c>
      <c r="M5" s="423" t="s">
        <v>20</v>
      </c>
      <c r="N5" s="411" t="s">
        <v>53</v>
      </c>
      <c r="O5" s="243" t="s">
        <v>13</v>
      </c>
      <c r="P5" s="244" t="s">
        <v>14</v>
      </c>
      <c r="Q5" s="243" t="s">
        <v>15</v>
      </c>
      <c r="R5" s="244" t="s">
        <v>450</v>
      </c>
      <c r="S5" s="244" t="s">
        <v>52</v>
      </c>
      <c r="T5" s="244" t="s">
        <v>452</v>
      </c>
      <c r="U5" s="134" t="s">
        <v>18</v>
      </c>
      <c r="V5" s="134" t="s">
        <v>20</v>
      </c>
      <c r="W5" s="174" t="s">
        <v>54</v>
      </c>
      <c r="X5" s="785"/>
      <c r="Y5" s="222"/>
      <c r="Z5" s="222"/>
      <c r="AA5" s="222"/>
      <c r="AB5" s="222"/>
      <c r="AC5" s="222"/>
      <c r="AD5" s="222"/>
    </row>
    <row r="6" spans="1:31" s="167" customFormat="1" ht="17.25">
      <c r="A6" s="775" t="s">
        <v>55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7"/>
      <c r="Y6" s="222"/>
      <c r="Z6" s="222"/>
      <c r="AA6" s="222"/>
      <c r="AB6" s="222"/>
      <c r="AC6" s="222"/>
      <c r="AD6" s="222"/>
    </row>
    <row r="7" spans="1:31" ht="18.75" customHeight="1">
      <c r="A7" s="7">
        <v>1500200001</v>
      </c>
      <c r="B7" s="229" t="s">
        <v>351</v>
      </c>
      <c r="C7" s="185">
        <v>36707184.159999989</v>
      </c>
      <c r="D7" s="185">
        <v>2040373.25</v>
      </c>
      <c r="E7" s="185">
        <v>2017818.8000000003</v>
      </c>
      <c r="F7" s="185">
        <v>18598545.950000003</v>
      </c>
      <c r="G7" s="185">
        <v>604921.66999999969</v>
      </c>
      <c r="H7" s="9"/>
      <c r="I7" s="9"/>
      <c r="J7" s="9"/>
      <c r="K7" s="424"/>
      <c r="L7" s="424"/>
      <c r="M7" s="424"/>
      <c r="N7" s="185">
        <f t="shared" ref="N7:N38" si="0">SUM(C7:M7)</f>
        <v>59968843.829999991</v>
      </c>
      <c r="O7" s="185">
        <v>4032241.036195091</v>
      </c>
      <c r="P7" s="185">
        <v>1631898.4947566751</v>
      </c>
      <c r="Q7" s="185">
        <v>587975.41429801891</v>
      </c>
      <c r="R7" s="185">
        <v>17367505.311787408</v>
      </c>
      <c r="S7" s="185">
        <v>48947.971854005169</v>
      </c>
      <c r="T7" s="185">
        <v>207364.34108527133</v>
      </c>
      <c r="U7" s="185">
        <v>69121.447028423776</v>
      </c>
      <c r="V7" s="185">
        <v>28490.978014642547</v>
      </c>
      <c r="W7" s="109">
        <f>SUM(O7:V7)</f>
        <v>23973544.995019536</v>
      </c>
      <c r="X7" s="109">
        <f>W7+N7</f>
        <v>83942388.825019524</v>
      </c>
      <c r="AE7" s="184"/>
    </row>
    <row r="8" spans="1:31" ht="21.75" customHeight="1">
      <c r="A8" s="7">
        <v>1500200002</v>
      </c>
      <c r="B8" s="577" t="s">
        <v>59</v>
      </c>
      <c r="C8" s="185">
        <v>19018309.559999995</v>
      </c>
      <c r="D8" s="185">
        <v>8476058</v>
      </c>
      <c r="E8" s="185">
        <v>1964865.76</v>
      </c>
      <c r="F8" s="185">
        <v>49663760.599999994</v>
      </c>
      <c r="G8" s="185">
        <v>175514.72000000003</v>
      </c>
      <c r="H8" s="9"/>
      <c r="I8" s="9"/>
      <c r="J8" s="9"/>
      <c r="K8" s="424"/>
      <c r="L8" s="424"/>
      <c r="M8" s="112"/>
      <c r="N8" s="185">
        <f t="shared" si="0"/>
        <v>79298508.639999986</v>
      </c>
      <c r="O8" s="185">
        <v>2148016.2529263571</v>
      </c>
      <c r="P8" s="185">
        <v>869329.1046834623</v>
      </c>
      <c r="Q8" s="185">
        <v>313220.54780361755</v>
      </c>
      <c r="R8" s="185">
        <v>9204331.2595503014</v>
      </c>
      <c r="S8" s="185">
        <v>26075.087810077515</v>
      </c>
      <c r="T8" s="185">
        <v>110465.11627906977</v>
      </c>
      <c r="U8" s="185">
        <v>36821.705426356588</v>
      </c>
      <c r="V8" s="185">
        <v>15177.436886304908</v>
      </c>
      <c r="W8" s="109">
        <f t="shared" ref="W8:W71" si="1">SUM(O8:V8)</f>
        <v>12723436.511365546</v>
      </c>
      <c r="X8" s="109">
        <f t="shared" ref="X8:X71" si="2">W8+N8</f>
        <v>92021945.151365533</v>
      </c>
    </row>
    <row r="9" spans="1:31" ht="22.5" customHeight="1">
      <c r="A9" s="7">
        <v>1500200003</v>
      </c>
      <c r="B9" s="229" t="s">
        <v>61</v>
      </c>
      <c r="C9" s="185">
        <v>11948443.770000001</v>
      </c>
      <c r="D9" s="185">
        <v>3487112.16</v>
      </c>
      <c r="E9" s="185">
        <v>94217.62</v>
      </c>
      <c r="F9" s="185">
        <v>19358781.41</v>
      </c>
      <c r="G9" s="185">
        <v>80112</v>
      </c>
      <c r="H9" s="9"/>
      <c r="I9" s="9"/>
      <c r="J9" s="9"/>
      <c r="K9" s="424"/>
      <c r="L9" s="424"/>
      <c r="M9" s="424"/>
      <c r="N9" s="185">
        <f t="shared" si="0"/>
        <v>34968666.960000001</v>
      </c>
      <c r="O9" s="185">
        <v>1205903.8612919899</v>
      </c>
      <c r="P9" s="185">
        <v>488044.40964685607</v>
      </c>
      <c r="Q9" s="185">
        <v>175843.11455641687</v>
      </c>
      <c r="R9" s="185">
        <v>5271225.233431749</v>
      </c>
      <c r="S9" s="185">
        <v>14638.645788113696</v>
      </c>
      <c r="T9" s="185">
        <v>62015.503875968992</v>
      </c>
      <c r="U9" s="185">
        <v>20671.834625322997</v>
      </c>
      <c r="V9" s="185">
        <v>8520.6663221360886</v>
      </c>
      <c r="W9" s="109">
        <f t="shared" si="1"/>
        <v>7246863.2695385544</v>
      </c>
      <c r="X9" s="109">
        <f t="shared" si="2"/>
        <v>42215530.229538552</v>
      </c>
    </row>
    <row r="10" spans="1:31" ht="20.45" customHeight="1">
      <c r="A10" s="7">
        <v>1500200004</v>
      </c>
      <c r="B10" s="229" t="s">
        <v>63</v>
      </c>
      <c r="C10" s="185">
        <v>32862034.010000005</v>
      </c>
      <c r="D10" s="185">
        <v>1516132.0999999999</v>
      </c>
      <c r="E10" s="185">
        <v>1497690.75</v>
      </c>
      <c r="F10" s="185">
        <v>213474173.61999992</v>
      </c>
      <c r="G10" s="185">
        <v>412883589.13</v>
      </c>
      <c r="H10" s="9"/>
      <c r="I10" s="9"/>
      <c r="J10" s="9"/>
      <c r="K10" s="424">
        <v>1.862645149230957E-9</v>
      </c>
      <c r="L10" s="424"/>
      <c r="M10" s="424"/>
      <c r="N10" s="185">
        <f t="shared" si="0"/>
        <v>662233619.6099999</v>
      </c>
      <c r="O10" s="185">
        <v>7649952.6200710619</v>
      </c>
      <c r="P10" s="185">
        <v>3096031.7236972433</v>
      </c>
      <c r="Q10" s="185">
        <v>1115504.7579672695</v>
      </c>
      <c r="R10" s="185">
        <v>22125509.858853653</v>
      </c>
      <c r="S10" s="185">
        <v>92863.909218346234</v>
      </c>
      <c r="T10" s="185">
        <v>393410.85271317832</v>
      </c>
      <c r="U10" s="185">
        <v>131136.95090439275</v>
      </c>
      <c r="V10" s="185">
        <v>54052.976981050815</v>
      </c>
      <c r="W10" s="109">
        <f t="shared" si="1"/>
        <v>34658463.650406197</v>
      </c>
      <c r="X10" s="109">
        <f t="shared" si="2"/>
        <v>696892083.26040614</v>
      </c>
    </row>
    <row r="11" spans="1:31" ht="20.45" customHeight="1">
      <c r="A11" s="7">
        <v>1500200005</v>
      </c>
      <c r="B11" s="229" t="s">
        <v>65</v>
      </c>
      <c r="C11" s="185">
        <v>22545253.330000002</v>
      </c>
      <c r="D11" s="185">
        <v>6490358</v>
      </c>
      <c r="E11" s="185">
        <v>211174.6</v>
      </c>
      <c r="F11" s="185">
        <v>16176535.610000001</v>
      </c>
      <c r="G11" s="185">
        <v>4087467.080000001</v>
      </c>
      <c r="H11" s="9"/>
      <c r="I11" s="9"/>
      <c r="J11" s="9"/>
      <c r="K11" s="424">
        <v>0</v>
      </c>
      <c r="L11" s="424"/>
      <c r="M11" s="424"/>
      <c r="N11" s="185">
        <f t="shared" si="0"/>
        <v>49510788.620000005</v>
      </c>
      <c r="O11" s="185">
        <v>2261069.7399224807</v>
      </c>
      <c r="P11" s="185">
        <v>915083.26808785507</v>
      </c>
      <c r="Q11" s="185">
        <v>329705.83979328163</v>
      </c>
      <c r="R11" s="185">
        <v>9542292.0626845304</v>
      </c>
      <c r="S11" s="185">
        <v>27447.460852713179</v>
      </c>
      <c r="T11" s="185">
        <v>116279.06976744186</v>
      </c>
      <c r="U11" s="185">
        <v>38759.689922480618</v>
      </c>
      <c r="V11" s="185">
        <v>15976.249354005167</v>
      </c>
      <c r="W11" s="109">
        <f t="shared" si="1"/>
        <v>13246613.380384786</v>
      </c>
      <c r="X11" s="109">
        <f t="shared" si="2"/>
        <v>62757402.000384793</v>
      </c>
    </row>
    <row r="12" spans="1:31" ht="20.45" customHeight="1">
      <c r="A12" s="7">
        <v>1500200007</v>
      </c>
      <c r="B12" s="229" t="s">
        <v>67</v>
      </c>
      <c r="C12" s="185">
        <v>12290851.190000001</v>
      </c>
      <c r="D12" s="9"/>
      <c r="E12" s="185">
        <v>361588.6</v>
      </c>
      <c r="F12" s="185">
        <v>20314402.449999999</v>
      </c>
      <c r="G12" s="185">
        <v>453714.51000000013</v>
      </c>
      <c r="H12" s="9"/>
      <c r="I12" s="9"/>
      <c r="J12" s="9"/>
      <c r="K12" s="424"/>
      <c r="L12" s="424"/>
      <c r="M12" s="424"/>
      <c r="N12" s="185">
        <f t="shared" si="0"/>
        <v>33420556.750000004</v>
      </c>
      <c r="O12" s="185">
        <v>1092850.3742958659</v>
      </c>
      <c r="P12" s="185">
        <v>442290.24624246336</v>
      </c>
      <c r="Q12" s="185">
        <v>159357.82256675279</v>
      </c>
      <c r="R12" s="185">
        <v>4652322.4302975228</v>
      </c>
      <c r="S12" s="185">
        <v>13266.272745478034</v>
      </c>
      <c r="T12" s="185">
        <v>56201.550387596901</v>
      </c>
      <c r="U12" s="185">
        <v>18733.850129198967</v>
      </c>
      <c r="V12" s="185">
        <v>7721.8538544358307</v>
      </c>
      <c r="W12" s="109">
        <f t="shared" si="1"/>
        <v>6442744.4005193142</v>
      </c>
      <c r="X12" s="109">
        <f t="shared" si="2"/>
        <v>39863301.150519319</v>
      </c>
    </row>
    <row r="13" spans="1:31" ht="20.45" customHeight="1">
      <c r="A13" s="7">
        <v>1500200009</v>
      </c>
      <c r="B13" s="229" t="s">
        <v>294</v>
      </c>
      <c r="C13" s="185">
        <v>17459391.09</v>
      </c>
      <c r="D13" s="185">
        <v>1130770.3</v>
      </c>
      <c r="E13" s="185">
        <v>9679407.0800000001</v>
      </c>
      <c r="F13" s="185">
        <v>3566063.1700000004</v>
      </c>
      <c r="G13" s="185">
        <v>141503.42000000001</v>
      </c>
      <c r="H13" s="185">
        <v>4274760.16</v>
      </c>
      <c r="I13" s="185"/>
      <c r="J13" s="9"/>
      <c r="K13" s="424"/>
      <c r="L13" s="424"/>
      <c r="M13" s="424"/>
      <c r="N13" s="185">
        <f t="shared" si="0"/>
        <v>36251895.219999999</v>
      </c>
      <c r="O13" s="185">
        <v>2411807.7225839798</v>
      </c>
      <c r="P13" s="185">
        <v>976088.81929371215</v>
      </c>
      <c r="Q13" s="185">
        <v>351686.22911283374</v>
      </c>
      <c r="R13" s="185">
        <v>10143973.466863498</v>
      </c>
      <c r="S13" s="185">
        <v>29277.291576227391</v>
      </c>
      <c r="T13" s="185">
        <v>124031.00775193798</v>
      </c>
      <c r="U13" s="185">
        <v>41343.669250645995</v>
      </c>
      <c r="V13" s="185">
        <v>17041.332644272177</v>
      </c>
      <c r="W13" s="109">
        <f t="shared" si="1"/>
        <v>14095249.539077109</v>
      </c>
      <c r="X13" s="109">
        <f t="shared" si="2"/>
        <v>50347144.759077109</v>
      </c>
    </row>
    <row r="14" spans="1:31" ht="20.45" customHeight="1">
      <c r="A14" s="7">
        <v>1500200016</v>
      </c>
      <c r="B14" s="229" t="s">
        <v>70</v>
      </c>
      <c r="C14" s="185">
        <v>8022473.2000000002</v>
      </c>
      <c r="D14" s="9"/>
      <c r="E14" s="185">
        <v>96960</v>
      </c>
      <c r="F14" s="185">
        <v>538851.45000000007</v>
      </c>
      <c r="G14" s="185">
        <v>8642.5000000000018</v>
      </c>
      <c r="H14" s="9"/>
      <c r="I14" s="9"/>
      <c r="J14" s="9"/>
      <c r="K14" s="424"/>
      <c r="L14" s="424"/>
      <c r="M14" s="424"/>
      <c r="N14" s="185">
        <f t="shared" si="0"/>
        <v>8666927.1500000004</v>
      </c>
      <c r="O14" s="185">
        <v>753689.91330749355</v>
      </c>
      <c r="P14" s="185">
        <v>305027.75602928502</v>
      </c>
      <c r="Q14" s="185">
        <v>109901.94659776056</v>
      </c>
      <c r="R14" s="185">
        <v>3158407.0208948427</v>
      </c>
      <c r="S14" s="185">
        <v>9149.1536175710589</v>
      </c>
      <c r="T14" s="185">
        <v>38759.689922480618</v>
      </c>
      <c r="U14" s="185">
        <v>12919.896640826873</v>
      </c>
      <c r="V14" s="185">
        <v>5325.4164513350561</v>
      </c>
      <c r="W14" s="109">
        <f t="shared" si="1"/>
        <v>4393180.7934615957</v>
      </c>
      <c r="X14" s="109">
        <f t="shared" si="2"/>
        <v>13060107.943461597</v>
      </c>
    </row>
    <row r="15" spans="1:31" ht="20.45" customHeight="1">
      <c r="A15" s="7">
        <v>1500200022</v>
      </c>
      <c r="B15" s="229" t="s">
        <v>72</v>
      </c>
      <c r="C15" s="185">
        <v>16983329.270000003</v>
      </c>
      <c r="D15" s="185">
        <v>16231145</v>
      </c>
      <c r="E15" s="185">
        <v>73599</v>
      </c>
      <c r="F15" s="185">
        <v>35924544.699999996</v>
      </c>
      <c r="G15" s="185">
        <v>2272683.15</v>
      </c>
      <c r="H15" s="9"/>
      <c r="I15" s="9"/>
      <c r="J15" s="9"/>
      <c r="K15" s="424"/>
      <c r="L15" s="424"/>
      <c r="M15" s="424">
        <v>73626.039999999994</v>
      </c>
      <c r="N15" s="185">
        <f t="shared" si="0"/>
        <v>71558927.160000011</v>
      </c>
      <c r="O15" s="185">
        <v>1771171.2962726103</v>
      </c>
      <c r="P15" s="185">
        <v>716815.2266688199</v>
      </c>
      <c r="Q15" s="185">
        <v>258269.57450473731</v>
      </c>
      <c r="R15" s="185">
        <v>3551548.8780002645</v>
      </c>
      <c r="S15" s="185">
        <v>21500.511001291987</v>
      </c>
      <c r="T15" s="185">
        <v>91085.271317829451</v>
      </c>
      <c r="U15" s="185">
        <v>30361.757105943154</v>
      </c>
      <c r="V15" s="185">
        <v>12514.728660637382</v>
      </c>
      <c r="W15" s="109">
        <f t="shared" si="1"/>
        <v>6453267.2435321333</v>
      </c>
      <c r="X15" s="109">
        <f t="shared" si="2"/>
        <v>78012194.403532147</v>
      </c>
    </row>
    <row r="16" spans="1:31" ht="20.45" customHeight="1">
      <c r="A16" s="7">
        <v>1500200023</v>
      </c>
      <c r="B16" s="229" t="s">
        <v>74</v>
      </c>
      <c r="C16" s="185">
        <v>17754393.479999997</v>
      </c>
      <c r="D16" s="185">
        <v>2847585</v>
      </c>
      <c r="E16" s="185">
        <v>7820</v>
      </c>
      <c r="F16" s="185">
        <v>16326144.460000001</v>
      </c>
      <c r="G16" s="185">
        <v>7403136.5100000007</v>
      </c>
      <c r="H16" s="9"/>
      <c r="I16" s="9"/>
      <c r="J16" s="9"/>
      <c r="K16" s="112"/>
      <c r="L16" s="112"/>
      <c r="M16" s="424"/>
      <c r="N16" s="185">
        <f t="shared" si="0"/>
        <v>44339079.449999996</v>
      </c>
      <c r="O16" s="185">
        <v>1545064.322280362</v>
      </c>
      <c r="P16" s="185">
        <v>625306.89986003435</v>
      </c>
      <c r="Q16" s="185">
        <v>225298.99052540914</v>
      </c>
      <c r="R16" s="185">
        <v>3098159.6595321465</v>
      </c>
      <c r="S16" s="185">
        <v>18755.764916020671</v>
      </c>
      <c r="T16" s="185">
        <v>79457.364341085267</v>
      </c>
      <c r="U16" s="185">
        <v>26485.788113695089</v>
      </c>
      <c r="V16" s="185">
        <v>10917.103725236864</v>
      </c>
      <c r="W16" s="109">
        <f t="shared" si="1"/>
        <v>5629445.8932939889</v>
      </c>
      <c r="X16" s="109">
        <f t="shared" si="2"/>
        <v>49968525.343293987</v>
      </c>
    </row>
    <row r="17" spans="1:24" ht="20.45" customHeight="1">
      <c r="A17" s="7">
        <v>1500200024</v>
      </c>
      <c r="B17" s="229" t="s">
        <v>76</v>
      </c>
      <c r="C17" s="185">
        <v>19195089.350000005</v>
      </c>
      <c r="D17" s="185">
        <v>266670</v>
      </c>
      <c r="E17" s="185">
        <v>35648</v>
      </c>
      <c r="F17" s="185">
        <v>269521237.61000001</v>
      </c>
      <c r="G17" s="185">
        <v>812967.68</v>
      </c>
      <c r="H17" s="9"/>
      <c r="I17" s="9"/>
      <c r="J17" s="9"/>
      <c r="K17" s="424"/>
      <c r="L17" s="424"/>
      <c r="M17" s="424"/>
      <c r="N17" s="185">
        <f t="shared" si="0"/>
        <v>289831612.64000005</v>
      </c>
      <c r="O17" s="185">
        <v>1507379.8266149871</v>
      </c>
      <c r="P17" s="185">
        <v>610055.51205857005</v>
      </c>
      <c r="Q17" s="185">
        <v>219803.89319552112</v>
      </c>
      <c r="R17" s="185">
        <v>3022594.7897874597</v>
      </c>
      <c r="S17" s="185">
        <v>18298.307235142118</v>
      </c>
      <c r="T17" s="185">
        <v>77519.379844961237</v>
      </c>
      <c r="U17" s="185">
        <v>25839.793281653747</v>
      </c>
      <c r="V17" s="185">
        <v>10650.832902670112</v>
      </c>
      <c r="W17" s="109">
        <f t="shared" si="1"/>
        <v>5492142.3349209651</v>
      </c>
      <c r="X17" s="109">
        <f t="shared" si="2"/>
        <v>295323754.97492099</v>
      </c>
    </row>
    <row r="18" spans="1:24" ht="20.45" customHeight="1">
      <c r="A18" s="7">
        <v>1500200025</v>
      </c>
      <c r="B18" s="229" t="s">
        <v>78</v>
      </c>
      <c r="C18" s="185">
        <v>24669056.99000001</v>
      </c>
      <c r="D18" s="185">
        <v>2111775</v>
      </c>
      <c r="E18" s="185">
        <v>171163.9</v>
      </c>
      <c r="F18" s="185">
        <v>853665563.86000025</v>
      </c>
      <c r="G18" s="185">
        <v>1067629.53</v>
      </c>
      <c r="H18" s="9"/>
      <c r="I18" s="9"/>
      <c r="J18" s="9"/>
      <c r="K18" s="424">
        <v>775000</v>
      </c>
      <c r="L18" s="424"/>
      <c r="M18" s="424"/>
      <c r="N18" s="185">
        <f t="shared" si="0"/>
        <v>882460189.28000021</v>
      </c>
      <c r="O18" s="185">
        <v>1733486.8006072352</v>
      </c>
      <c r="P18" s="185">
        <v>701563.8388673556</v>
      </c>
      <c r="Q18" s="185">
        <v>252774.47717484925</v>
      </c>
      <c r="R18" s="185">
        <v>3475984.0082555781</v>
      </c>
      <c r="S18" s="185">
        <v>21043.053320413437</v>
      </c>
      <c r="T18" s="185">
        <v>89147.28682170542</v>
      </c>
      <c r="U18" s="185">
        <v>29715.762273901808</v>
      </c>
      <c r="V18" s="185">
        <v>12248.457838070628</v>
      </c>
      <c r="W18" s="109">
        <f t="shared" si="1"/>
        <v>6315963.6851591095</v>
      </c>
      <c r="X18" s="109">
        <f t="shared" si="2"/>
        <v>888776152.9651593</v>
      </c>
    </row>
    <row r="19" spans="1:24" ht="20.45" customHeight="1">
      <c r="A19" s="7">
        <v>1500200026</v>
      </c>
      <c r="B19" s="229" t="s">
        <v>80</v>
      </c>
      <c r="C19" s="185">
        <v>17183739.93</v>
      </c>
      <c r="D19" s="185">
        <v>2109655</v>
      </c>
      <c r="E19" s="185">
        <v>147145</v>
      </c>
      <c r="F19" s="185">
        <v>42517306.969999999</v>
      </c>
      <c r="G19" s="185">
        <v>2983718.27</v>
      </c>
      <c r="H19" s="9"/>
      <c r="I19" s="9"/>
      <c r="J19" s="9"/>
      <c r="K19" s="112"/>
      <c r="L19" s="112"/>
      <c r="M19" s="424">
        <v>17500</v>
      </c>
      <c r="N19" s="185">
        <f t="shared" si="0"/>
        <v>64959065.170000002</v>
      </c>
      <c r="O19" s="185">
        <v>1808855.791937985</v>
      </c>
      <c r="P19" s="185">
        <v>732066.61447028408</v>
      </c>
      <c r="Q19" s="185">
        <v>263764.6718346253</v>
      </c>
      <c r="R19" s="185">
        <v>3627113.7477449509</v>
      </c>
      <c r="S19" s="185">
        <v>21957.96868217054</v>
      </c>
      <c r="T19" s="185">
        <v>93023.255813953481</v>
      </c>
      <c r="U19" s="185">
        <v>31007.751937984496</v>
      </c>
      <c r="V19" s="185">
        <v>12780.999483204134</v>
      </c>
      <c r="W19" s="109">
        <f t="shared" si="1"/>
        <v>6590570.8019051589</v>
      </c>
      <c r="X19" s="109">
        <f t="shared" si="2"/>
        <v>71549635.971905157</v>
      </c>
    </row>
    <row r="20" spans="1:24" ht="20.45" customHeight="1">
      <c r="A20" s="7">
        <v>1500200027</v>
      </c>
      <c r="B20" s="229" t="s">
        <v>82</v>
      </c>
      <c r="C20" s="185">
        <v>18092965.32</v>
      </c>
      <c r="D20" s="185">
        <v>43624</v>
      </c>
      <c r="E20" s="185">
        <v>454310</v>
      </c>
      <c r="F20" s="185">
        <v>72308952.219999999</v>
      </c>
      <c r="G20" s="9">
        <v>56755.64</v>
      </c>
      <c r="H20" s="9"/>
      <c r="I20" s="9"/>
      <c r="J20" s="9"/>
      <c r="K20" s="424">
        <v>12900</v>
      </c>
      <c r="L20" s="424"/>
      <c r="M20" s="424"/>
      <c r="N20" s="185">
        <f t="shared" si="0"/>
        <v>90969507.179999992</v>
      </c>
      <c r="O20" s="185">
        <v>1808855.791937985</v>
      </c>
      <c r="P20" s="185">
        <v>732066.61447028408</v>
      </c>
      <c r="Q20" s="185">
        <v>263764.6718346253</v>
      </c>
      <c r="R20" s="185">
        <v>3627113.7477449509</v>
      </c>
      <c r="S20" s="185">
        <v>21957.96868217054</v>
      </c>
      <c r="T20" s="185">
        <v>93023.255813953481</v>
      </c>
      <c r="U20" s="185">
        <v>31007.751937984496</v>
      </c>
      <c r="V20" s="185">
        <v>12780.999483204134</v>
      </c>
      <c r="W20" s="109">
        <f t="shared" si="1"/>
        <v>6590570.8019051589</v>
      </c>
      <c r="X20" s="109">
        <f t="shared" si="2"/>
        <v>97560077.981905147</v>
      </c>
    </row>
    <row r="21" spans="1:24" ht="20.45" customHeight="1">
      <c r="A21" s="7">
        <v>1500200028</v>
      </c>
      <c r="B21" s="229" t="s">
        <v>84</v>
      </c>
      <c r="C21" s="185">
        <v>15139085.850000003</v>
      </c>
      <c r="D21" s="185"/>
      <c r="E21" s="185">
        <v>893077</v>
      </c>
      <c r="F21" s="185">
        <v>31858327.720000003</v>
      </c>
      <c r="G21" s="185">
        <v>5667358.96</v>
      </c>
      <c r="H21" s="9"/>
      <c r="I21" s="9"/>
      <c r="J21" s="9"/>
      <c r="K21" s="424"/>
      <c r="L21" s="424"/>
      <c r="M21" s="424"/>
      <c r="N21" s="185">
        <f t="shared" si="0"/>
        <v>53557849.530000009</v>
      </c>
      <c r="O21" s="185">
        <v>1432010.8352842384</v>
      </c>
      <c r="P21" s="185">
        <v>579552.73645564157</v>
      </c>
      <c r="Q21" s="185">
        <v>208813.69853574506</v>
      </c>
      <c r="R21" s="185">
        <v>2871465.0502980868</v>
      </c>
      <c r="S21" s="185">
        <v>17383.391873385015</v>
      </c>
      <c r="T21" s="185">
        <v>73643.410852713176</v>
      </c>
      <c r="U21" s="185">
        <v>24547.803617571059</v>
      </c>
      <c r="V21" s="185">
        <v>10118.291257536606</v>
      </c>
      <c r="W21" s="109">
        <f t="shared" si="1"/>
        <v>5217535.2181749186</v>
      </c>
      <c r="X21" s="109">
        <f t="shared" si="2"/>
        <v>58775384.748174928</v>
      </c>
    </row>
    <row r="22" spans="1:24" ht="20.45" customHeight="1">
      <c r="A22" s="7">
        <v>1500200029</v>
      </c>
      <c r="B22" s="229" t="s">
        <v>86</v>
      </c>
      <c r="C22" s="185">
        <v>18864110.620000001</v>
      </c>
      <c r="D22" s="185">
        <v>1759110</v>
      </c>
      <c r="E22" s="185">
        <v>310111</v>
      </c>
      <c r="F22" s="185">
        <v>72640762.409999982</v>
      </c>
      <c r="G22" s="185">
        <v>4592700.21</v>
      </c>
      <c r="H22" s="9"/>
      <c r="I22" s="9"/>
      <c r="J22" s="9"/>
      <c r="K22" s="424"/>
      <c r="L22" s="424"/>
      <c r="M22" s="424"/>
      <c r="N22" s="185">
        <f t="shared" si="0"/>
        <v>98166794.23999998</v>
      </c>
      <c r="O22" s="185">
        <v>1545064.322280362</v>
      </c>
      <c r="P22" s="185">
        <v>625306.89986003435</v>
      </c>
      <c r="Q22" s="185">
        <v>225298.99052540914</v>
      </c>
      <c r="R22" s="185">
        <v>3098159.6595321465</v>
      </c>
      <c r="S22" s="185">
        <v>18755.764916020671</v>
      </c>
      <c r="T22" s="185">
        <v>79457.364341085267</v>
      </c>
      <c r="U22" s="185">
        <v>26485.788113695089</v>
      </c>
      <c r="V22" s="185">
        <v>10917.103725236864</v>
      </c>
      <c r="W22" s="109">
        <f t="shared" si="1"/>
        <v>5629445.8932939889</v>
      </c>
      <c r="X22" s="109">
        <f t="shared" si="2"/>
        <v>103796240.13329397</v>
      </c>
    </row>
    <row r="23" spans="1:24" ht="20.45" customHeight="1">
      <c r="A23" s="7">
        <v>1500200030</v>
      </c>
      <c r="B23" s="229" t="s">
        <v>88</v>
      </c>
      <c r="C23" s="185">
        <v>15826710.889999999</v>
      </c>
      <c r="D23" s="9"/>
      <c r="E23" s="185">
        <v>363863</v>
      </c>
      <c r="F23" s="185">
        <v>72177630.769999981</v>
      </c>
      <c r="G23" s="185">
        <v>518209.38000000006</v>
      </c>
      <c r="H23" s="9"/>
      <c r="I23" s="9"/>
      <c r="J23" s="9"/>
      <c r="K23" s="424"/>
      <c r="L23" s="424"/>
      <c r="M23" s="424"/>
      <c r="N23" s="185">
        <f t="shared" si="0"/>
        <v>88886414.039999977</v>
      </c>
      <c r="O23" s="185">
        <v>1281272.8526227395</v>
      </c>
      <c r="P23" s="185">
        <v>518547.18524978461</v>
      </c>
      <c r="Q23" s="185">
        <v>186833.30921619292</v>
      </c>
      <c r="R23" s="185">
        <v>2569205.5713193403</v>
      </c>
      <c r="S23" s="185">
        <v>15553.561149870799</v>
      </c>
      <c r="T23" s="185">
        <v>65891.472868217053</v>
      </c>
      <c r="U23" s="185">
        <v>21963.824289405686</v>
      </c>
      <c r="V23" s="185">
        <v>9053.2079672695945</v>
      </c>
      <c r="W23" s="109">
        <f t="shared" si="1"/>
        <v>4668320.9846828198</v>
      </c>
      <c r="X23" s="109">
        <f t="shared" si="2"/>
        <v>93554735.02468279</v>
      </c>
    </row>
    <row r="24" spans="1:24" ht="20.45" customHeight="1">
      <c r="A24" s="7">
        <v>1500200031</v>
      </c>
      <c r="B24" s="229" t="s">
        <v>90</v>
      </c>
      <c r="C24" s="185">
        <v>24670428.800000001</v>
      </c>
      <c r="D24" s="185">
        <v>9511840</v>
      </c>
      <c r="E24" s="185">
        <v>347069</v>
      </c>
      <c r="F24" s="185">
        <v>28115756.579999998</v>
      </c>
      <c r="G24" s="185">
        <v>9947567.0399999991</v>
      </c>
      <c r="H24" s="9"/>
      <c r="I24" s="9"/>
      <c r="J24" s="9"/>
      <c r="K24" s="424"/>
      <c r="L24" s="424"/>
      <c r="M24" s="112"/>
      <c r="N24" s="185">
        <f t="shared" si="0"/>
        <v>72592661.419999987</v>
      </c>
      <c r="O24" s="185">
        <v>2072647.2615956073</v>
      </c>
      <c r="P24" s="185">
        <v>838826.32908053393</v>
      </c>
      <c r="Q24" s="185">
        <v>302230.35314384155</v>
      </c>
      <c r="R24" s="185">
        <v>4156067.8359577572</v>
      </c>
      <c r="S24" s="185">
        <v>25160.172448320416</v>
      </c>
      <c r="T24" s="185">
        <v>106589.14728682171</v>
      </c>
      <c r="U24" s="185">
        <v>35529.715762273903</v>
      </c>
      <c r="V24" s="185">
        <v>14644.895241171404</v>
      </c>
      <c r="W24" s="109">
        <f t="shared" si="1"/>
        <v>7551695.7105163271</v>
      </c>
      <c r="X24" s="109">
        <f t="shared" si="2"/>
        <v>80144357.13051632</v>
      </c>
    </row>
    <row r="25" spans="1:24" ht="20.45" customHeight="1">
      <c r="A25" s="7">
        <v>1500200032</v>
      </c>
      <c r="B25" s="229" t="s">
        <v>92</v>
      </c>
      <c r="C25" s="185">
        <v>15415202.880000001</v>
      </c>
      <c r="D25" s="185">
        <v>440900</v>
      </c>
      <c r="E25" s="185">
        <v>1220944</v>
      </c>
      <c r="F25" s="185">
        <v>26815837.710000001</v>
      </c>
      <c r="G25" s="185">
        <v>82042.430000000008</v>
      </c>
      <c r="H25" s="9"/>
      <c r="I25" s="9"/>
      <c r="J25" s="9"/>
      <c r="K25" s="424"/>
      <c r="L25" s="424"/>
      <c r="M25" s="424"/>
      <c r="N25" s="185">
        <f t="shared" si="0"/>
        <v>43974927.020000003</v>
      </c>
      <c r="O25" s="185">
        <v>1620433.3136111114</v>
      </c>
      <c r="P25" s="185">
        <v>655809.67546296283</v>
      </c>
      <c r="Q25" s="185">
        <v>236289.1851851852</v>
      </c>
      <c r="R25" s="185">
        <v>3249289.3990215189</v>
      </c>
      <c r="S25" s="185">
        <v>19670.680277777778</v>
      </c>
      <c r="T25" s="185">
        <v>83333.333333333328</v>
      </c>
      <c r="U25" s="185">
        <v>27777.777777777777</v>
      </c>
      <c r="V25" s="185">
        <v>11449.64537037037</v>
      </c>
      <c r="W25" s="109">
        <f t="shared" si="1"/>
        <v>5904053.0100400373</v>
      </c>
      <c r="X25" s="109">
        <f t="shared" si="2"/>
        <v>49878980.030040041</v>
      </c>
    </row>
    <row r="26" spans="1:24" ht="20.45" customHeight="1">
      <c r="A26" s="7">
        <v>1500200033</v>
      </c>
      <c r="B26" s="229" t="s">
        <v>94</v>
      </c>
      <c r="C26" s="185">
        <v>18258833.499999993</v>
      </c>
      <c r="D26" s="185">
        <v>275000</v>
      </c>
      <c r="E26" s="185">
        <v>35954</v>
      </c>
      <c r="F26" s="185">
        <v>17796756.990000002</v>
      </c>
      <c r="G26" s="185">
        <v>1566810.7800000003</v>
      </c>
      <c r="H26" s="9"/>
      <c r="I26" s="9"/>
      <c r="J26" s="9"/>
      <c r="K26" s="424"/>
      <c r="L26" s="424"/>
      <c r="M26" s="424"/>
      <c r="N26" s="185">
        <f t="shared" si="0"/>
        <v>37933355.269999996</v>
      </c>
      <c r="O26" s="185">
        <v>1846540.2876033599</v>
      </c>
      <c r="P26" s="185">
        <v>747318.00227174838</v>
      </c>
      <c r="Q26" s="185">
        <v>269259.76916451339</v>
      </c>
      <c r="R26" s="185">
        <v>3702678.6174896378</v>
      </c>
      <c r="S26" s="185">
        <v>22415.426363049093</v>
      </c>
      <c r="T26" s="185">
        <v>94961.240310077526</v>
      </c>
      <c r="U26" s="185">
        <v>31653.746770025838</v>
      </c>
      <c r="V26" s="185">
        <v>13047.270305770886</v>
      </c>
      <c r="W26" s="109">
        <f t="shared" si="1"/>
        <v>6727874.3602781827</v>
      </c>
      <c r="X26" s="109">
        <f t="shared" si="2"/>
        <v>44661229.630278178</v>
      </c>
    </row>
    <row r="27" spans="1:24" ht="20.45" customHeight="1">
      <c r="A27" s="7">
        <v>1500200034</v>
      </c>
      <c r="B27" s="229" t="s">
        <v>96</v>
      </c>
      <c r="C27" s="185">
        <v>14259301.549999999</v>
      </c>
      <c r="D27" s="185">
        <v>1443400</v>
      </c>
      <c r="E27" s="185">
        <v>351858.15</v>
      </c>
      <c r="F27" s="185">
        <v>176734389.12</v>
      </c>
      <c r="G27" s="185">
        <v>17530625.310000002</v>
      </c>
      <c r="H27" s="9"/>
      <c r="I27" s="9"/>
      <c r="J27" s="9"/>
      <c r="K27" s="424"/>
      <c r="L27" s="424"/>
      <c r="M27" s="112">
        <v>463000</v>
      </c>
      <c r="N27" s="185">
        <f t="shared" si="0"/>
        <v>210782574.13</v>
      </c>
      <c r="O27" s="185">
        <v>1168219.3656266152</v>
      </c>
      <c r="P27" s="185">
        <v>472793.02184539184</v>
      </c>
      <c r="Q27" s="185">
        <v>170348.01722652884</v>
      </c>
      <c r="R27" s="185">
        <v>2342510.962085281</v>
      </c>
      <c r="S27" s="185">
        <v>14181.188107235141</v>
      </c>
      <c r="T27" s="185">
        <v>60077.519379844962</v>
      </c>
      <c r="U27" s="185">
        <v>20025.839793281655</v>
      </c>
      <c r="V27" s="185">
        <v>8254.3954995693366</v>
      </c>
      <c r="W27" s="109">
        <f t="shared" si="1"/>
        <v>4256410.3095637485</v>
      </c>
      <c r="X27" s="109">
        <f t="shared" si="2"/>
        <v>215038984.43956375</v>
      </c>
    </row>
    <row r="28" spans="1:24" ht="20.45" customHeight="1">
      <c r="A28" s="7">
        <v>1500200035</v>
      </c>
      <c r="B28" s="229" t="s">
        <v>98</v>
      </c>
      <c r="C28" s="185">
        <v>16725350.449999997</v>
      </c>
      <c r="D28" s="9">
        <v>147700</v>
      </c>
      <c r="E28" s="185">
        <v>258844</v>
      </c>
      <c r="F28" s="185">
        <v>113715675.94</v>
      </c>
      <c r="G28" s="185">
        <v>602496</v>
      </c>
      <c r="H28" s="9"/>
      <c r="I28" s="9"/>
      <c r="J28" s="9"/>
      <c r="K28" s="424"/>
      <c r="L28" s="424"/>
      <c r="M28" s="424"/>
      <c r="N28" s="185">
        <f t="shared" si="0"/>
        <v>131450066.38999999</v>
      </c>
      <c r="O28" s="185">
        <v>1695802.3049418605</v>
      </c>
      <c r="P28" s="185">
        <v>686312.45106589142</v>
      </c>
      <c r="Q28" s="185">
        <v>247279.37984496122</v>
      </c>
      <c r="R28" s="185">
        <v>3400419.1385108917</v>
      </c>
      <c r="S28" s="185">
        <v>20585.595639534884</v>
      </c>
      <c r="T28" s="185">
        <v>87209.30232558139</v>
      </c>
      <c r="U28" s="185">
        <v>29069.767441860466</v>
      </c>
      <c r="V28" s="185">
        <v>11982.187015503876</v>
      </c>
      <c r="W28" s="109">
        <f t="shared" si="1"/>
        <v>6178660.1267860858</v>
      </c>
      <c r="X28" s="109">
        <f t="shared" si="2"/>
        <v>137628726.51678607</v>
      </c>
    </row>
    <row r="29" spans="1:24" ht="20.45" customHeight="1">
      <c r="A29" s="7">
        <v>1500200036</v>
      </c>
      <c r="B29" s="229" t="s">
        <v>100</v>
      </c>
      <c r="C29" s="185">
        <v>17335826.91</v>
      </c>
      <c r="D29" s="185">
        <v>1188422</v>
      </c>
      <c r="E29" s="185">
        <v>221337</v>
      </c>
      <c r="F29" s="185">
        <v>25257172.920000006</v>
      </c>
      <c r="G29" s="185">
        <v>1203951.3500000003</v>
      </c>
      <c r="H29" s="9"/>
      <c r="I29" s="9"/>
      <c r="J29" s="9">
        <v>14600</v>
      </c>
      <c r="K29" s="424"/>
      <c r="L29" s="424"/>
      <c r="M29" s="424">
        <v>80000</v>
      </c>
      <c r="N29" s="185">
        <f t="shared" si="0"/>
        <v>45301310.180000007</v>
      </c>
      <c r="O29" s="185">
        <v>1733486.8006072352</v>
      </c>
      <c r="P29" s="185">
        <v>701563.8388673556</v>
      </c>
      <c r="Q29" s="185">
        <v>252774.47717484925</v>
      </c>
      <c r="R29" s="185">
        <v>3475984.0082555781</v>
      </c>
      <c r="S29" s="185">
        <v>21043.053320413437</v>
      </c>
      <c r="T29" s="185">
        <v>89147.28682170542</v>
      </c>
      <c r="U29" s="185">
        <v>29715.762273901808</v>
      </c>
      <c r="V29" s="185">
        <v>12248.457838070628</v>
      </c>
      <c r="W29" s="109">
        <f t="shared" si="1"/>
        <v>6315963.6851591095</v>
      </c>
      <c r="X29" s="109">
        <f t="shared" si="2"/>
        <v>51617273.865159117</v>
      </c>
    </row>
    <row r="30" spans="1:24" ht="20.45" customHeight="1">
      <c r="A30" s="7">
        <v>1500200037</v>
      </c>
      <c r="B30" s="229" t="s">
        <v>102</v>
      </c>
      <c r="C30" s="185">
        <v>16240695.41</v>
      </c>
      <c r="D30" s="185">
        <v>1691523</v>
      </c>
      <c r="E30" s="185">
        <v>604409</v>
      </c>
      <c r="F30" s="185">
        <v>18575253.859999999</v>
      </c>
      <c r="G30" s="185">
        <v>5116986.8599999985</v>
      </c>
      <c r="H30" s="9"/>
      <c r="I30" s="9"/>
      <c r="J30" s="9"/>
      <c r="K30" s="424"/>
      <c r="L30" s="424"/>
      <c r="M30" s="112"/>
      <c r="N30" s="185">
        <f t="shared" si="0"/>
        <v>42228868.129999995</v>
      </c>
      <c r="O30" s="185">
        <v>1318957.3482881142</v>
      </c>
      <c r="P30" s="185">
        <v>533798.57305124879</v>
      </c>
      <c r="Q30" s="185">
        <v>192328.40654608095</v>
      </c>
      <c r="R30" s="185">
        <v>2644770.4410640271</v>
      </c>
      <c r="S30" s="185">
        <v>16011.018830749354</v>
      </c>
      <c r="T30" s="185">
        <v>67829.457364341084</v>
      </c>
      <c r="U30" s="185">
        <v>22609.819121447028</v>
      </c>
      <c r="V30" s="185">
        <v>9319.4787898363484</v>
      </c>
      <c r="W30" s="109">
        <f t="shared" si="1"/>
        <v>4805624.5430558454</v>
      </c>
      <c r="X30" s="109">
        <f t="shared" si="2"/>
        <v>47034492.673055843</v>
      </c>
    </row>
    <row r="31" spans="1:24" ht="20.45" customHeight="1">
      <c r="A31" s="7">
        <v>1500200038</v>
      </c>
      <c r="B31" s="229" t="s">
        <v>104</v>
      </c>
      <c r="C31" s="185">
        <v>19388667.949999999</v>
      </c>
      <c r="D31" s="185">
        <v>2677320</v>
      </c>
      <c r="E31" s="185">
        <v>697537</v>
      </c>
      <c r="F31" s="185">
        <v>45876990.200000003</v>
      </c>
      <c r="G31" s="185">
        <v>3704900.5400000005</v>
      </c>
      <c r="H31" s="9"/>
      <c r="I31" s="9"/>
      <c r="J31" s="9"/>
      <c r="K31" s="424"/>
      <c r="L31" s="424"/>
      <c r="M31" s="112">
        <v>1777500</v>
      </c>
      <c r="N31" s="185">
        <f t="shared" si="0"/>
        <v>74122915.690000013</v>
      </c>
      <c r="O31" s="185">
        <v>1959593.7745994835</v>
      </c>
      <c r="P31" s="185">
        <v>793072.16567614116</v>
      </c>
      <c r="Q31" s="185">
        <v>285745.06115417741</v>
      </c>
      <c r="R31" s="185">
        <v>3929373.2267236975</v>
      </c>
      <c r="S31" s="185">
        <v>23787.799405684753</v>
      </c>
      <c r="T31" s="185">
        <v>100775.19379844962</v>
      </c>
      <c r="U31" s="185">
        <v>33591.731266149873</v>
      </c>
      <c r="V31" s="185">
        <v>13846.082773471146</v>
      </c>
      <c r="W31" s="109">
        <f t="shared" si="1"/>
        <v>7139785.0353972549</v>
      </c>
      <c r="X31" s="109">
        <f t="shared" si="2"/>
        <v>81262700.725397274</v>
      </c>
    </row>
    <row r="32" spans="1:24" ht="20.45" customHeight="1">
      <c r="A32" s="7">
        <v>1500200039</v>
      </c>
      <c r="B32" s="229" t="s">
        <v>106</v>
      </c>
      <c r="C32" s="185">
        <v>33713742.799999997</v>
      </c>
      <c r="D32" s="185">
        <v>2035398</v>
      </c>
      <c r="E32" s="185">
        <v>1204805.25</v>
      </c>
      <c r="F32" s="185">
        <v>717830593.14000046</v>
      </c>
      <c r="G32" s="185">
        <v>6408745.4799999995</v>
      </c>
      <c r="H32" s="9"/>
      <c r="I32" s="9"/>
      <c r="J32" s="9"/>
      <c r="K32" s="424"/>
      <c r="L32" s="424"/>
      <c r="M32" s="424"/>
      <c r="N32" s="185">
        <f t="shared" si="0"/>
        <v>761193284.67000043</v>
      </c>
      <c r="O32" s="185">
        <v>2374123.2269186052</v>
      </c>
      <c r="P32" s="185">
        <v>960837.43149224797</v>
      </c>
      <c r="Q32" s="185">
        <v>346191.13178294571</v>
      </c>
      <c r="R32" s="185">
        <v>4760586.7939152485</v>
      </c>
      <c r="S32" s="185">
        <v>28819.833895348835</v>
      </c>
      <c r="T32" s="185">
        <v>122093.02325581395</v>
      </c>
      <c r="U32" s="185">
        <v>40697.674418604649</v>
      </c>
      <c r="V32" s="185">
        <v>16775.061821705425</v>
      </c>
      <c r="W32" s="109">
        <f t="shared" si="1"/>
        <v>8650124.177500518</v>
      </c>
      <c r="X32" s="109">
        <f t="shared" si="2"/>
        <v>769843408.84750092</v>
      </c>
    </row>
    <row r="33" spans="1:24" ht="20.45" customHeight="1">
      <c r="A33" s="7">
        <v>1500200040</v>
      </c>
      <c r="B33" s="229" t="s">
        <v>108</v>
      </c>
      <c r="C33" s="185">
        <v>27109271.220000003</v>
      </c>
      <c r="D33" s="185">
        <v>1477302</v>
      </c>
      <c r="E33" s="185">
        <v>3089837</v>
      </c>
      <c r="F33" s="185">
        <v>106426786.74000001</v>
      </c>
      <c r="G33" s="185">
        <v>807381.23</v>
      </c>
      <c r="H33" s="9"/>
      <c r="I33" s="9"/>
      <c r="J33" s="9"/>
      <c r="K33" s="424"/>
      <c r="L33" s="424"/>
      <c r="M33" s="112">
        <v>188200</v>
      </c>
      <c r="N33" s="185">
        <f t="shared" si="0"/>
        <v>139098778.19</v>
      </c>
      <c r="O33" s="185">
        <v>1733486.8006072352</v>
      </c>
      <c r="P33" s="185">
        <v>701563.8388673556</v>
      </c>
      <c r="Q33" s="185">
        <v>252774.47717484925</v>
      </c>
      <c r="R33" s="185">
        <v>3475984.0082555781</v>
      </c>
      <c r="S33" s="185">
        <v>21043.053320413437</v>
      </c>
      <c r="T33" s="185">
        <v>89147.28682170542</v>
      </c>
      <c r="U33" s="185">
        <v>29715.762273901808</v>
      </c>
      <c r="V33" s="185">
        <v>12248.457838070628</v>
      </c>
      <c r="W33" s="109">
        <f t="shared" si="1"/>
        <v>6315963.6851591095</v>
      </c>
      <c r="X33" s="109">
        <f t="shared" si="2"/>
        <v>145414741.87515911</v>
      </c>
    </row>
    <row r="34" spans="1:24" ht="20.45" customHeight="1">
      <c r="A34" s="7">
        <v>1500200041</v>
      </c>
      <c r="B34" s="229" t="s">
        <v>110</v>
      </c>
      <c r="C34" s="185">
        <v>20175616.279999997</v>
      </c>
      <c r="D34" s="185">
        <v>2225583</v>
      </c>
      <c r="E34" s="185">
        <v>612186.05000000005</v>
      </c>
      <c r="F34" s="185">
        <v>67270367.99000001</v>
      </c>
      <c r="G34" s="185">
        <v>2648231.9700000002</v>
      </c>
      <c r="H34" s="9"/>
      <c r="I34" s="9"/>
      <c r="J34" s="9"/>
      <c r="K34" s="424"/>
      <c r="L34" s="424"/>
      <c r="M34" s="424"/>
      <c r="N34" s="185">
        <f t="shared" si="0"/>
        <v>92931985.290000007</v>
      </c>
      <c r="O34" s="185">
        <v>1921909.2789341088</v>
      </c>
      <c r="P34" s="185">
        <v>777820.77787467686</v>
      </c>
      <c r="Q34" s="185">
        <v>280249.96382428944</v>
      </c>
      <c r="R34" s="185">
        <v>3853808.3569790111</v>
      </c>
      <c r="S34" s="185">
        <v>23330.341724806203</v>
      </c>
      <c r="T34" s="185">
        <v>98837.209302325587</v>
      </c>
      <c r="U34" s="185">
        <v>32945.736434108527</v>
      </c>
      <c r="V34" s="185">
        <v>13579.811950904392</v>
      </c>
      <c r="W34" s="109">
        <f t="shared" si="1"/>
        <v>7002481.4770242311</v>
      </c>
      <c r="X34" s="109">
        <f t="shared" si="2"/>
        <v>99934466.767024234</v>
      </c>
    </row>
    <row r="35" spans="1:24" ht="20.45" customHeight="1">
      <c r="A35" s="7">
        <v>1500200042</v>
      </c>
      <c r="B35" s="229" t="s">
        <v>300</v>
      </c>
      <c r="C35" s="185">
        <v>19894587.459999993</v>
      </c>
      <c r="D35" s="185">
        <v>290570</v>
      </c>
      <c r="E35" s="185">
        <v>949063.1</v>
      </c>
      <c r="F35" s="185">
        <v>412189035.07000011</v>
      </c>
      <c r="G35" s="185">
        <v>1084810.74</v>
      </c>
      <c r="H35" s="9"/>
      <c r="I35" s="9"/>
      <c r="J35" s="9"/>
      <c r="K35" s="424"/>
      <c r="L35" s="424"/>
      <c r="M35" s="424"/>
      <c r="N35" s="185">
        <f t="shared" si="0"/>
        <v>434408066.37000012</v>
      </c>
      <c r="O35" s="185">
        <v>1959593.7745994835</v>
      </c>
      <c r="P35" s="185">
        <v>793072.16567614116</v>
      </c>
      <c r="Q35" s="185">
        <v>285745.06115417741</v>
      </c>
      <c r="R35" s="185">
        <v>3929373.2267236975</v>
      </c>
      <c r="S35" s="185">
        <v>23787.799405684753</v>
      </c>
      <c r="T35" s="185">
        <v>100775.19379844962</v>
      </c>
      <c r="U35" s="185">
        <v>33591.731266149873</v>
      </c>
      <c r="V35" s="185">
        <v>13846.082773471146</v>
      </c>
      <c r="W35" s="109">
        <f t="shared" si="1"/>
        <v>7139785.0353972549</v>
      </c>
      <c r="X35" s="109">
        <f t="shared" si="2"/>
        <v>441547851.40539736</v>
      </c>
    </row>
    <row r="36" spans="1:24" ht="20.45" customHeight="1">
      <c r="A36" s="7">
        <v>1500200043</v>
      </c>
      <c r="B36" s="229" t="s">
        <v>113</v>
      </c>
      <c r="C36" s="185">
        <v>19618262.220000003</v>
      </c>
      <c r="D36" s="185">
        <v>4957320</v>
      </c>
      <c r="E36" s="185">
        <v>754424.1</v>
      </c>
      <c r="F36" s="185">
        <v>34615160.890000001</v>
      </c>
      <c r="G36" s="185">
        <v>26449466.380000003</v>
      </c>
      <c r="H36" s="9"/>
      <c r="I36" s="9"/>
      <c r="J36" s="9"/>
      <c r="K36" s="424">
        <v>3</v>
      </c>
      <c r="L36" s="424">
        <v>29312373.809999999</v>
      </c>
      <c r="M36" s="424">
        <v>0</v>
      </c>
      <c r="N36" s="185">
        <f t="shared" si="0"/>
        <v>115707010.40000001</v>
      </c>
      <c r="O36" s="185">
        <v>1582748.8179457367</v>
      </c>
      <c r="P36" s="185">
        <v>640558.28766149865</v>
      </c>
      <c r="Q36" s="185">
        <v>230794.08785529717</v>
      </c>
      <c r="R36" s="185">
        <v>3173724.5292768325</v>
      </c>
      <c r="S36" s="185">
        <v>19213.222596899221</v>
      </c>
      <c r="T36" s="185">
        <v>81395.348837209298</v>
      </c>
      <c r="U36" s="185">
        <v>27131.782945736435</v>
      </c>
      <c r="V36" s="185">
        <v>11183.374547803618</v>
      </c>
      <c r="W36" s="109">
        <f t="shared" si="1"/>
        <v>5766749.4516670136</v>
      </c>
      <c r="X36" s="109">
        <f t="shared" si="2"/>
        <v>121473759.85166702</v>
      </c>
    </row>
    <row r="37" spans="1:24" ht="20.45" customHeight="1">
      <c r="A37" s="7">
        <v>1500200044</v>
      </c>
      <c r="B37" s="229" t="s">
        <v>115</v>
      </c>
      <c r="C37" s="185">
        <v>16651461.709999999</v>
      </c>
      <c r="D37" s="185">
        <v>2525290</v>
      </c>
      <c r="E37" s="185">
        <v>314004</v>
      </c>
      <c r="F37" s="185">
        <v>38343425.460000001</v>
      </c>
      <c r="G37" s="185">
        <v>4193592.9300000006</v>
      </c>
      <c r="H37" s="9"/>
      <c r="I37" s="9"/>
      <c r="J37" s="9"/>
      <c r="K37" s="424"/>
      <c r="L37" s="424"/>
      <c r="M37" s="424"/>
      <c r="N37" s="185">
        <f t="shared" si="0"/>
        <v>62027774.100000001</v>
      </c>
      <c r="O37" s="185">
        <v>1582748.8179457367</v>
      </c>
      <c r="P37" s="185">
        <v>640558.28766149865</v>
      </c>
      <c r="Q37" s="185">
        <v>230794.08785529717</v>
      </c>
      <c r="R37" s="185">
        <v>3173724.5292768325</v>
      </c>
      <c r="S37" s="185">
        <v>19213.222596899221</v>
      </c>
      <c r="T37" s="185">
        <v>81395.348837209298</v>
      </c>
      <c r="U37" s="185">
        <v>27131.782945736435</v>
      </c>
      <c r="V37" s="185">
        <v>11183.374547803618</v>
      </c>
      <c r="W37" s="109">
        <f t="shared" si="1"/>
        <v>5766749.4516670136</v>
      </c>
      <c r="X37" s="109">
        <f t="shared" si="2"/>
        <v>67794523.55166702</v>
      </c>
    </row>
    <row r="38" spans="1:24" ht="20.45" customHeight="1">
      <c r="A38" s="7">
        <v>1500200045</v>
      </c>
      <c r="B38" s="229" t="s">
        <v>117</v>
      </c>
      <c r="C38" s="185">
        <v>18908065.489999998</v>
      </c>
      <c r="D38" s="185">
        <v>4021263</v>
      </c>
      <c r="E38" s="185">
        <v>149286</v>
      </c>
      <c r="F38" s="185">
        <v>26435899.900000006</v>
      </c>
      <c r="G38" s="185">
        <v>26385858.460000005</v>
      </c>
      <c r="H38" s="9"/>
      <c r="I38" s="9"/>
      <c r="J38" s="9"/>
      <c r="K38" s="112"/>
      <c r="L38" s="112"/>
      <c r="M38" s="112"/>
      <c r="N38" s="185">
        <f t="shared" si="0"/>
        <v>75900372.850000009</v>
      </c>
      <c r="O38" s="185">
        <v>1921909.2789341088</v>
      </c>
      <c r="P38" s="185">
        <v>777820.77787467686</v>
      </c>
      <c r="Q38" s="185">
        <v>280249.96382428944</v>
      </c>
      <c r="R38" s="185">
        <v>3853808.3569790111</v>
      </c>
      <c r="S38" s="185">
        <v>23330.341724806203</v>
      </c>
      <c r="T38" s="185">
        <v>98837.209302325587</v>
      </c>
      <c r="U38" s="185">
        <v>32945.736434108527</v>
      </c>
      <c r="V38" s="185">
        <v>13579.811950904392</v>
      </c>
      <c r="W38" s="109">
        <f t="shared" si="1"/>
        <v>7002481.4770242311</v>
      </c>
      <c r="X38" s="109">
        <f t="shared" si="2"/>
        <v>82902854.327024236</v>
      </c>
    </row>
    <row r="39" spans="1:24" ht="20.45" customHeight="1">
      <c r="A39" s="7">
        <v>1500200046</v>
      </c>
      <c r="B39" s="229" t="s">
        <v>119</v>
      </c>
      <c r="C39" s="185">
        <v>17779912.380000003</v>
      </c>
      <c r="D39" s="185">
        <v>66504</v>
      </c>
      <c r="E39" s="185">
        <v>581195</v>
      </c>
      <c r="F39" s="185">
        <v>88297475.239999995</v>
      </c>
      <c r="G39" s="185">
        <v>27583121.16</v>
      </c>
      <c r="H39" s="9"/>
      <c r="I39" s="9"/>
      <c r="J39" s="9"/>
      <c r="K39" s="424"/>
      <c r="L39" s="424"/>
      <c r="M39" s="424"/>
      <c r="N39" s="185">
        <f t="shared" ref="N39:N70" si="3">SUM(C39:M39)</f>
        <v>134308207.78</v>
      </c>
      <c r="O39" s="185">
        <v>1997278.2702648584</v>
      </c>
      <c r="P39" s="185">
        <v>808323.55347760534</v>
      </c>
      <c r="Q39" s="185">
        <v>291240.15848406544</v>
      </c>
      <c r="R39" s="185">
        <v>4004938.0964683839</v>
      </c>
      <c r="S39" s="185">
        <v>24245.257086563306</v>
      </c>
      <c r="T39" s="185">
        <v>102713.17829457365</v>
      </c>
      <c r="U39" s="185">
        <v>34237.726098191211</v>
      </c>
      <c r="V39" s="185">
        <v>14112.353596037898</v>
      </c>
      <c r="W39" s="109">
        <f t="shared" si="1"/>
        <v>7277088.5937702795</v>
      </c>
      <c r="X39" s="109">
        <f t="shared" si="2"/>
        <v>141585296.37377027</v>
      </c>
    </row>
    <row r="40" spans="1:24" ht="20.45" customHeight="1">
      <c r="A40" s="7">
        <v>1500200047</v>
      </c>
      <c r="B40" s="229" t="s">
        <v>121</v>
      </c>
      <c r="C40" s="185">
        <v>19825621.780000001</v>
      </c>
      <c r="D40" s="185">
        <v>1678396</v>
      </c>
      <c r="E40" s="185">
        <v>503532.6</v>
      </c>
      <c r="F40" s="185">
        <v>271365667.79000002</v>
      </c>
      <c r="G40" s="185">
        <v>6392709.459999999</v>
      </c>
      <c r="H40" s="185"/>
      <c r="I40" s="185"/>
      <c r="J40" s="9"/>
      <c r="K40" s="424"/>
      <c r="L40" s="424"/>
      <c r="M40" s="424">
        <v>99957</v>
      </c>
      <c r="N40" s="185">
        <f t="shared" si="3"/>
        <v>299865884.63</v>
      </c>
      <c r="O40" s="185">
        <v>1921909.2789341088</v>
      </c>
      <c r="P40" s="185">
        <v>777820.77787467686</v>
      </c>
      <c r="Q40" s="185">
        <v>280249.96382428944</v>
      </c>
      <c r="R40" s="185">
        <v>3853808.3569790111</v>
      </c>
      <c r="S40" s="185">
        <v>23330.341724806203</v>
      </c>
      <c r="T40" s="185">
        <v>98837.209302325587</v>
      </c>
      <c r="U40" s="185">
        <v>32945.736434108527</v>
      </c>
      <c r="V40" s="185">
        <v>13579.811950904392</v>
      </c>
      <c r="W40" s="109">
        <f t="shared" si="1"/>
        <v>7002481.4770242311</v>
      </c>
      <c r="X40" s="109">
        <f t="shared" si="2"/>
        <v>306868366.10702425</v>
      </c>
    </row>
    <row r="41" spans="1:24" ht="20.45" customHeight="1">
      <c r="A41" s="7">
        <v>1500200048</v>
      </c>
      <c r="B41" s="229" t="s">
        <v>123</v>
      </c>
      <c r="C41" s="185">
        <v>24677389.860000003</v>
      </c>
      <c r="D41" s="185">
        <v>4491405</v>
      </c>
      <c r="E41" s="185">
        <v>1431591</v>
      </c>
      <c r="F41" s="185">
        <v>719513819.49000001</v>
      </c>
      <c r="G41" s="185">
        <v>170362.46999999997</v>
      </c>
      <c r="H41" s="9"/>
      <c r="I41" s="9"/>
      <c r="J41" s="9"/>
      <c r="K41" s="424"/>
      <c r="L41" s="424"/>
      <c r="M41" s="424"/>
      <c r="N41" s="185">
        <f t="shared" si="3"/>
        <v>750284567.82000005</v>
      </c>
      <c r="O41" s="185">
        <v>1921909.2789341088</v>
      </c>
      <c r="P41" s="185">
        <v>777820.77787467686</v>
      </c>
      <c r="Q41" s="185">
        <v>280249.96382428944</v>
      </c>
      <c r="R41" s="185">
        <v>3853808.3569790111</v>
      </c>
      <c r="S41" s="185">
        <v>23330.341724806203</v>
      </c>
      <c r="T41" s="185">
        <v>98837.209302325587</v>
      </c>
      <c r="U41" s="185">
        <v>32945.736434108527</v>
      </c>
      <c r="V41" s="185">
        <v>13579.811950904392</v>
      </c>
      <c r="W41" s="109">
        <f t="shared" si="1"/>
        <v>7002481.4770242311</v>
      </c>
      <c r="X41" s="109">
        <f t="shared" si="2"/>
        <v>757287049.29702425</v>
      </c>
    </row>
    <row r="42" spans="1:24" ht="20.45" customHeight="1">
      <c r="A42" s="7">
        <v>1500200049</v>
      </c>
      <c r="B42" s="229" t="s">
        <v>125</v>
      </c>
      <c r="C42" s="185">
        <v>24985315.330000002</v>
      </c>
      <c r="D42" s="185">
        <v>151893</v>
      </c>
      <c r="E42" s="185">
        <v>256140</v>
      </c>
      <c r="F42" s="185">
        <v>52710348.690000013</v>
      </c>
      <c r="G42" s="185">
        <v>2874881.48</v>
      </c>
      <c r="H42" s="9"/>
      <c r="I42" s="9"/>
      <c r="J42" s="9"/>
      <c r="K42" s="424"/>
      <c r="L42" s="424"/>
      <c r="M42" s="424"/>
      <c r="N42" s="185">
        <f t="shared" si="3"/>
        <v>80978578.500000015</v>
      </c>
      <c r="O42" s="185">
        <v>1921909.2789341088</v>
      </c>
      <c r="P42" s="185">
        <v>777820.77787467686</v>
      </c>
      <c r="Q42" s="185">
        <v>280249.96382428944</v>
      </c>
      <c r="R42" s="185">
        <v>3853808.3569790111</v>
      </c>
      <c r="S42" s="185">
        <v>23330.341724806203</v>
      </c>
      <c r="T42" s="185">
        <v>98837.209302325587</v>
      </c>
      <c r="U42" s="185">
        <v>32945.736434108527</v>
      </c>
      <c r="V42" s="185">
        <v>13579.811950904392</v>
      </c>
      <c r="W42" s="109">
        <f t="shared" si="1"/>
        <v>7002481.4770242311</v>
      </c>
      <c r="X42" s="109">
        <f t="shared" si="2"/>
        <v>87981059.977024242</v>
      </c>
    </row>
    <row r="43" spans="1:24" ht="20.45" customHeight="1">
      <c r="A43" s="7">
        <v>1500200050</v>
      </c>
      <c r="B43" s="229" t="s">
        <v>127</v>
      </c>
      <c r="C43" s="185">
        <v>18807585.170000002</v>
      </c>
      <c r="D43" s="185">
        <v>1918326</v>
      </c>
      <c r="E43" s="185">
        <v>1333594</v>
      </c>
      <c r="F43" s="185">
        <v>23845496.91</v>
      </c>
      <c r="G43" s="185">
        <v>9250786.3399999999</v>
      </c>
      <c r="H43" s="9"/>
      <c r="I43" s="9"/>
      <c r="J43" s="9"/>
      <c r="K43" s="424"/>
      <c r="L43" s="424"/>
      <c r="M43" s="424"/>
      <c r="N43" s="185">
        <f t="shared" si="3"/>
        <v>55155788.420000002</v>
      </c>
      <c r="O43" s="185">
        <v>1959593.7745994835</v>
      </c>
      <c r="P43" s="185">
        <v>793072.16567614116</v>
      </c>
      <c r="Q43" s="185">
        <v>285745.06115417741</v>
      </c>
      <c r="R43" s="185">
        <v>3929373.2267236975</v>
      </c>
      <c r="S43" s="185">
        <v>23787.799405684753</v>
      </c>
      <c r="T43" s="185">
        <v>100775.19379844962</v>
      </c>
      <c r="U43" s="185">
        <v>33591.731266149873</v>
      </c>
      <c r="V43" s="185">
        <v>13846.082773471146</v>
      </c>
      <c r="W43" s="109">
        <f t="shared" si="1"/>
        <v>7139785.0353972549</v>
      </c>
      <c r="X43" s="109">
        <f t="shared" si="2"/>
        <v>62295573.455397256</v>
      </c>
    </row>
    <row r="44" spans="1:24" ht="20.45" customHeight="1">
      <c r="A44" s="7">
        <v>1500200051</v>
      </c>
      <c r="B44" s="229" t="s">
        <v>129</v>
      </c>
      <c r="C44" s="185">
        <v>15292633.820000002</v>
      </c>
      <c r="D44" s="185">
        <v>732446.75</v>
      </c>
      <c r="E44" s="185">
        <v>559353.75</v>
      </c>
      <c r="F44" s="185">
        <v>57883750.150000021</v>
      </c>
      <c r="G44" s="185">
        <v>3767404.29</v>
      </c>
      <c r="H44" s="185">
        <v>99600</v>
      </c>
      <c r="I44" s="185"/>
      <c r="J44" s="9"/>
      <c r="K44" s="424"/>
      <c r="L44" s="424"/>
      <c r="M44" s="112">
        <v>4500</v>
      </c>
      <c r="N44" s="185">
        <f t="shared" si="3"/>
        <v>78339688.760000035</v>
      </c>
      <c r="O44" s="185">
        <v>1733486.8006072352</v>
      </c>
      <c r="P44" s="185">
        <v>701563.8388673556</v>
      </c>
      <c r="Q44" s="185">
        <v>252774.47717484925</v>
      </c>
      <c r="R44" s="185">
        <v>3475984.0082555781</v>
      </c>
      <c r="S44" s="185">
        <v>21043.053320413437</v>
      </c>
      <c r="T44" s="185">
        <v>89147.28682170542</v>
      </c>
      <c r="U44" s="185">
        <v>29715.762273901808</v>
      </c>
      <c r="V44" s="185">
        <v>12248.457838070628</v>
      </c>
      <c r="W44" s="109">
        <f t="shared" si="1"/>
        <v>6315963.6851591095</v>
      </c>
      <c r="X44" s="109">
        <f t="shared" si="2"/>
        <v>84655652.445159137</v>
      </c>
    </row>
    <row r="45" spans="1:24" ht="20.45" customHeight="1">
      <c r="A45" s="7">
        <v>1500200052</v>
      </c>
      <c r="B45" s="229" t="s">
        <v>131</v>
      </c>
      <c r="C45" s="185">
        <v>16577781.239999996</v>
      </c>
      <c r="D45" s="185">
        <v>5210375</v>
      </c>
      <c r="E45" s="185">
        <v>2049074</v>
      </c>
      <c r="F45" s="185">
        <v>388092224.52000004</v>
      </c>
      <c r="G45" s="185">
        <v>3459070.2499999995</v>
      </c>
      <c r="H45" s="9"/>
      <c r="I45" s="9"/>
      <c r="J45" s="9"/>
      <c r="K45" s="424"/>
      <c r="L45" s="424"/>
      <c r="M45" s="424"/>
      <c r="N45" s="185">
        <f t="shared" si="3"/>
        <v>415388525.01000005</v>
      </c>
      <c r="O45" s="185">
        <v>1695802.3049418605</v>
      </c>
      <c r="P45" s="185">
        <v>686312.45106589142</v>
      </c>
      <c r="Q45" s="185">
        <v>247279.37984496122</v>
      </c>
      <c r="R45" s="185">
        <v>3400419.1385108917</v>
      </c>
      <c r="S45" s="185">
        <v>20585.595639534884</v>
      </c>
      <c r="T45" s="185">
        <v>87209.30232558139</v>
      </c>
      <c r="U45" s="185">
        <v>29069.767441860466</v>
      </c>
      <c r="V45" s="185">
        <v>11982.187015503876</v>
      </c>
      <c r="W45" s="109">
        <f t="shared" si="1"/>
        <v>6178660.1267860858</v>
      </c>
      <c r="X45" s="109">
        <f t="shared" si="2"/>
        <v>421567185.13678616</v>
      </c>
    </row>
    <row r="46" spans="1:24" ht="20.45" customHeight="1">
      <c r="A46" s="7">
        <v>1500200053</v>
      </c>
      <c r="B46" s="229" t="s">
        <v>133</v>
      </c>
      <c r="C46" s="185">
        <v>21615429.430000007</v>
      </c>
      <c r="D46" s="185">
        <v>2449709</v>
      </c>
      <c r="E46" s="185">
        <v>67046</v>
      </c>
      <c r="F46" s="185">
        <v>57671272.349999987</v>
      </c>
      <c r="G46" s="185">
        <v>3732801.04</v>
      </c>
      <c r="H46" s="9"/>
      <c r="I46" s="9"/>
      <c r="J46" s="9"/>
      <c r="K46" s="424">
        <v>110600</v>
      </c>
      <c r="L46" s="424"/>
      <c r="M46" s="424"/>
      <c r="N46" s="185">
        <f t="shared" si="3"/>
        <v>85646857.820000008</v>
      </c>
      <c r="O46" s="185">
        <v>2110331.7572609824</v>
      </c>
      <c r="P46" s="185">
        <v>854077.71688199812</v>
      </c>
      <c r="Q46" s="185">
        <v>307725.45047372952</v>
      </c>
      <c r="R46" s="185">
        <v>4231632.7057024427</v>
      </c>
      <c r="S46" s="185">
        <v>25617.630129198966</v>
      </c>
      <c r="T46" s="185">
        <v>108527.13178294574</v>
      </c>
      <c r="U46" s="185">
        <v>36175.710594315242</v>
      </c>
      <c r="V46" s="185">
        <v>14911.166063738157</v>
      </c>
      <c r="W46" s="109">
        <f t="shared" si="1"/>
        <v>7688999.2688893508</v>
      </c>
      <c r="X46" s="109">
        <f t="shared" si="2"/>
        <v>93335857.08888936</v>
      </c>
    </row>
    <row r="47" spans="1:24" ht="20.45" customHeight="1">
      <c r="A47" s="7">
        <v>1500200054</v>
      </c>
      <c r="B47" s="229" t="s">
        <v>135</v>
      </c>
      <c r="C47" s="185">
        <v>16911170.049999997</v>
      </c>
      <c r="D47" s="185">
        <v>1593435</v>
      </c>
      <c r="E47" s="185">
        <v>209852.93</v>
      </c>
      <c r="F47" s="185">
        <v>540884749.53000009</v>
      </c>
      <c r="G47" s="185">
        <v>10085909.409999998</v>
      </c>
      <c r="H47" s="9"/>
      <c r="I47" s="9"/>
      <c r="J47" s="9"/>
      <c r="K47" s="424"/>
      <c r="L47" s="424"/>
      <c r="M47" s="424"/>
      <c r="N47" s="185">
        <f t="shared" si="3"/>
        <v>569685116.92000008</v>
      </c>
      <c r="O47" s="185">
        <v>1356641.8439534884</v>
      </c>
      <c r="P47" s="185">
        <v>549049.96085271309</v>
      </c>
      <c r="Q47" s="185">
        <v>197823.50387596901</v>
      </c>
      <c r="R47" s="185">
        <v>2720335.3108087135</v>
      </c>
      <c r="S47" s="185">
        <v>16468.476511627905</v>
      </c>
      <c r="T47" s="185">
        <v>69767.441860465115</v>
      </c>
      <c r="U47" s="185">
        <v>23255.81395348837</v>
      </c>
      <c r="V47" s="185">
        <v>9585.7496124031004</v>
      </c>
      <c r="W47" s="109">
        <f t="shared" si="1"/>
        <v>4942928.1014288692</v>
      </c>
      <c r="X47" s="109">
        <f t="shared" si="2"/>
        <v>574628045.02142894</v>
      </c>
    </row>
    <row r="48" spans="1:24" ht="20.45" customHeight="1">
      <c r="A48" s="7">
        <v>1500200055</v>
      </c>
      <c r="B48" s="229" t="s">
        <v>137</v>
      </c>
      <c r="C48" s="185">
        <v>16417509.729999999</v>
      </c>
      <c r="D48" s="185">
        <v>3615744</v>
      </c>
      <c r="E48" s="185">
        <v>1190967</v>
      </c>
      <c r="F48" s="185">
        <v>66372485.869999997</v>
      </c>
      <c r="G48" s="185">
        <v>7138765.4499999993</v>
      </c>
      <c r="H48" s="9"/>
      <c r="I48" s="9"/>
      <c r="J48" s="9"/>
      <c r="K48" s="424"/>
      <c r="L48" s="424"/>
      <c r="M48" s="424">
        <v>17075659</v>
      </c>
      <c r="N48" s="185">
        <f t="shared" si="3"/>
        <v>111811131.05</v>
      </c>
      <c r="O48" s="185">
        <v>1808855.791937985</v>
      </c>
      <c r="P48" s="185">
        <v>732066.61447028408</v>
      </c>
      <c r="Q48" s="185">
        <v>263764.6718346253</v>
      </c>
      <c r="R48" s="185">
        <v>3627113.7477449509</v>
      </c>
      <c r="S48" s="185">
        <v>21957.96868217054</v>
      </c>
      <c r="T48" s="185">
        <v>93023.255813953481</v>
      </c>
      <c r="U48" s="185">
        <v>31007.751937984496</v>
      </c>
      <c r="V48" s="185">
        <v>12780.999483204134</v>
      </c>
      <c r="W48" s="109">
        <f t="shared" si="1"/>
        <v>6590570.8019051589</v>
      </c>
      <c r="X48" s="109">
        <f t="shared" si="2"/>
        <v>118401701.85190515</v>
      </c>
    </row>
    <row r="49" spans="1:24" ht="20.45" customHeight="1">
      <c r="A49" s="7">
        <v>1500200056</v>
      </c>
      <c r="B49" s="229" t="s">
        <v>139</v>
      </c>
      <c r="C49" s="185">
        <v>16850215.090000004</v>
      </c>
      <c r="D49" s="9">
        <v>122950</v>
      </c>
      <c r="E49" s="185">
        <v>426226</v>
      </c>
      <c r="F49" s="185">
        <v>69723496.679999977</v>
      </c>
      <c r="G49" s="185">
        <v>29467982.940000001</v>
      </c>
      <c r="H49" s="9"/>
      <c r="I49" s="9"/>
      <c r="J49" s="9"/>
      <c r="K49" s="424"/>
      <c r="L49" s="424"/>
      <c r="M49" s="112"/>
      <c r="N49" s="185">
        <f t="shared" si="3"/>
        <v>116590870.70999998</v>
      </c>
      <c r="O49" s="185">
        <v>1733486.8006072352</v>
      </c>
      <c r="P49" s="185">
        <v>701563.8388673556</v>
      </c>
      <c r="Q49" s="185">
        <v>252774.47717484925</v>
      </c>
      <c r="R49" s="185">
        <v>3475984.0082555781</v>
      </c>
      <c r="S49" s="185">
        <v>21043.053320413437</v>
      </c>
      <c r="T49" s="185">
        <v>89147.28682170542</v>
      </c>
      <c r="U49" s="185">
        <v>29715.762273901808</v>
      </c>
      <c r="V49" s="185">
        <v>12248.457838070628</v>
      </c>
      <c r="W49" s="109">
        <f t="shared" si="1"/>
        <v>6315963.6851591095</v>
      </c>
      <c r="X49" s="109">
        <f t="shared" si="2"/>
        <v>122906834.3951591</v>
      </c>
    </row>
    <row r="50" spans="1:24" ht="20.45" customHeight="1">
      <c r="A50" s="7">
        <v>1500200057</v>
      </c>
      <c r="B50" s="229" t="s">
        <v>141</v>
      </c>
      <c r="C50" s="185">
        <v>17949818.559999991</v>
      </c>
      <c r="D50" s="185">
        <v>4588920</v>
      </c>
      <c r="E50" s="185">
        <v>437866</v>
      </c>
      <c r="F50" s="185">
        <v>121270834.65000001</v>
      </c>
      <c r="G50" s="185">
        <v>9149842.8000000026</v>
      </c>
      <c r="H50" s="9"/>
      <c r="I50" s="9"/>
      <c r="J50" s="9"/>
      <c r="K50" s="424"/>
      <c r="L50" s="424"/>
      <c r="M50" s="424"/>
      <c r="N50" s="185">
        <f t="shared" si="3"/>
        <v>153397282.01000002</v>
      </c>
      <c r="O50" s="185">
        <v>1808855.791937985</v>
      </c>
      <c r="P50" s="185">
        <v>732066.61447028408</v>
      </c>
      <c r="Q50" s="185">
        <v>263764.6718346253</v>
      </c>
      <c r="R50" s="185">
        <v>3627113.7477449509</v>
      </c>
      <c r="S50" s="185">
        <v>21957.96868217054</v>
      </c>
      <c r="T50" s="185">
        <v>93023.255813953481</v>
      </c>
      <c r="U50" s="185">
        <v>31007.751937984496</v>
      </c>
      <c r="V50" s="185">
        <v>12780.999483204134</v>
      </c>
      <c r="W50" s="109">
        <f t="shared" si="1"/>
        <v>6590570.8019051589</v>
      </c>
      <c r="X50" s="109">
        <f t="shared" si="2"/>
        <v>159987852.81190518</v>
      </c>
    </row>
    <row r="51" spans="1:24" ht="20.45" customHeight="1">
      <c r="A51" s="7">
        <v>1500200058</v>
      </c>
      <c r="B51" s="229" t="s">
        <v>143</v>
      </c>
      <c r="C51" s="185">
        <v>31547778.210000001</v>
      </c>
      <c r="D51" s="185">
        <v>1079108</v>
      </c>
      <c r="E51" s="185">
        <v>1201363</v>
      </c>
      <c r="F51" s="185">
        <v>922842238.57000065</v>
      </c>
      <c r="G51" s="185">
        <v>3126410.7300000004</v>
      </c>
      <c r="H51" s="9"/>
      <c r="I51" s="9"/>
      <c r="J51" s="9"/>
      <c r="K51" s="424"/>
      <c r="L51" s="424"/>
      <c r="M51" s="424"/>
      <c r="N51" s="185">
        <f t="shared" si="3"/>
        <v>959796898.51000071</v>
      </c>
      <c r="O51" s="185">
        <v>3014759.6532299742</v>
      </c>
      <c r="P51" s="185">
        <v>1220111.0241171401</v>
      </c>
      <c r="Q51" s="185">
        <v>439607.78639104223</v>
      </c>
      <c r="R51" s="185">
        <v>6045189.5795749193</v>
      </c>
      <c r="S51" s="185">
        <v>36596.614470284236</v>
      </c>
      <c r="T51" s="185">
        <v>155038.75968992247</v>
      </c>
      <c r="U51" s="185">
        <v>51679.586563307494</v>
      </c>
      <c r="V51" s="185">
        <v>21301.665805340224</v>
      </c>
      <c r="W51" s="109">
        <f t="shared" si="1"/>
        <v>10984284.66984193</v>
      </c>
      <c r="X51" s="109">
        <f t="shared" si="2"/>
        <v>970781183.17984259</v>
      </c>
    </row>
    <row r="52" spans="1:24" ht="20.45" customHeight="1">
      <c r="A52" s="7">
        <v>1500200059</v>
      </c>
      <c r="B52" s="229" t="s">
        <v>145</v>
      </c>
      <c r="C52" s="185">
        <v>20386033.699999999</v>
      </c>
      <c r="D52" s="185">
        <v>1923985</v>
      </c>
      <c r="E52" s="185">
        <v>616347</v>
      </c>
      <c r="F52" s="185">
        <v>33266849.68</v>
      </c>
      <c r="G52" s="185">
        <v>1535253.66</v>
      </c>
      <c r="H52" s="9"/>
      <c r="I52" s="9"/>
      <c r="J52" s="9"/>
      <c r="K52" s="424">
        <v>281250</v>
      </c>
      <c r="L52" s="424"/>
      <c r="M52" s="112"/>
      <c r="N52" s="185">
        <f t="shared" si="3"/>
        <v>58009719.039999992</v>
      </c>
      <c r="O52" s="185">
        <v>1846540.2876033599</v>
      </c>
      <c r="P52" s="185">
        <v>747318.00227174838</v>
      </c>
      <c r="Q52" s="185">
        <v>269259.76916451339</v>
      </c>
      <c r="R52" s="185">
        <v>3702678.6174896378</v>
      </c>
      <c r="S52" s="185">
        <v>22415.426363049093</v>
      </c>
      <c r="T52" s="185">
        <v>94961.240310077526</v>
      </c>
      <c r="U52" s="185">
        <v>31653.746770025838</v>
      </c>
      <c r="V52" s="185">
        <v>13047.270305770886</v>
      </c>
      <c r="W52" s="109">
        <f t="shared" si="1"/>
        <v>6727874.3602781827</v>
      </c>
      <c r="X52" s="109">
        <f t="shared" si="2"/>
        <v>64737593.400278173</v>
      </c>
    </row>
    <row r="53" spans="1:24" ht="20.45" customHeight="1">
      <c r="A53" s="7">
        <v>1500200060</v>
      </c>
      <c r="B53" s="229" t="s">
        <v>147</v>
      </c>
      <c r="C53" s="185">
        <v>19136358.890000001</v>
      </c>
      <c r="D53" s="185">
        <v>2525060</v>
      </c>
      <c r="E53" s="185">
        <v>606840</v>
      </c>
      <c r="F53" s="185">
        <v>31191444.890000004</v>
      </c>
      <c r="G53" s="185">
        <v>1243083.3400000001</v>
      </c>
      <c r="H53" s="9"/>
      <c r="I53" s="9"/>
      <c r="J53" s="9"/>
      <c r="K53" s="424"/>
      <c r="L53" s="424"/>
      <c r="M53" s="112">
        <v>50300</v>
      </c>
      <c r="N53" s="185">
        <f t="shared" si="3"/>
        <v>54753087.120000005</v>
      </c>
      <c r="O53" s="185">
        <v>1921909.2789341088</v>
      </c>
      <c r="P53" s="185">
        <v>777820.77787467686</v>
      </c>
      <c r="Q53" s="185">
        <v>280249.96382428944</v>
      </c>
      <c r="R53" s="185">
        <v>3853808.3569790111</v>
      </c>
      <c r="S53" s="185">
        <v>23330.341724806203</v>
      </c>
      <c r="T53" s="185">
        <v>98837.209302325587</v>
      </c>
      <c r="U53" s="185">
        <v>32945.736434108527</v>
      </c>
      <c r="V53" s="185">
        <v>13579.811950904392</v>
      </c>
      <c r="W53" s="109">
        <f t="shared" si="1"/>
        <v>7002481.4770242311</v>
      </c>
      <c r="X53" s="109">
        <f t="shared" si="2"/>
        <v>61755568.597024232</v>
      </c>
    </row>
    <row r="54" spans="1:24" ht="20.45" customHeight="1">
      <c r="A54" s="7">
        <v>1500200061</v>
      </c>
      <c r="B54" s="229" t="s">
        <v>149</v>
      </c>
      <c r="C54" s="185">
        <v>18704573.469999999</v>
      </c>
      <c r="D54" s="185">
        <v>2568032.6</v>
      </c>
      <c r="E54" s="185">
        <v>356489</v>
      </c>
      <c r="F54" s="185">
        <v>19806676.879999999</v>
      </c>
      <c r="G54" s="185">
        <v>9899665.6999999993</v>
      </c>
      <c r="H54" s="9"/>
      <c r="I54" s="9"/>
      <c r="J54" s="9"/>
      <c r="K54" s="112">
        <v>0</v>
      </c>
      <c r="L54" s="112"/>
      <c r="M54" s="112"/>
      <c r="N54" s="185">
        <f t="shared" si="3"/>
        <v>51335437.650000006</v>
      </c>
      <c r="O54" s="185">
        <v>1808855.791937985</v>
      </c>
      <c r="P54" s="185">
        <v>732066.61447028408</v>
      </c>
      <c r="Q54" s="185">
        <v>263764.6718346253</v>
      </c>
      <c r="R54" s="185">
        <v>3627113.7477449509</v>
      </c>
      <c r="S54" s="185">
        <v>21957.96868217054</v>
      </c>
      <c r="T54" s="185">
        <v>93023.255813953481</v>
      </c>
      <c r="U54" s="185">
        <v>31007.751937984496</v>
      </c>
      <c r="V54" s="185">
        <v>12780.999483204134</v>
      </c>
      <c r="W54" s="109">
        <f t="shared" si="1"/>
        <v>6590570.8019051589</v>
      </c>
      <c r="X54" s="109">
        <f t="shared" si="2"/>
        <v>57926008.451905161</v>
      </c>
    </row>
    <row r="55" spans="1:24" ht="20.45" customHeight="1">
      <c r="A55" s="7">
        <v>1500200062</v>
      </c>
      <c r="B55" s="229" t="s">
        <v>151</v>
      </c>
      <c r="C55" s="185">
        <v>17616991.899999999</v>
      </c>
      <c r="D55" s="185">
        <v>4770503</v>
      </c>
      <c r="E55" s="185">
        <v>362252</v>
      </c>
      <c r="F55" s="185">
        <v>82004794.719999999</v>
      </c>
      <c r="G55" s="185">
        <v>56939153.810000002</v>
      </c>
      <c r="H55" s="9"/>
      <c r="I55" s="9"/>
      <c r="J55" s="9"/>
      <c r="K55" s="112">
        <v>8958688.5199999996</v>
      </c>
      <c r="L55" s="112"/>
      <c r="M55" s="424"/>
      <c r="N55" s="185">
        <f t="shared" si="3"/>
        <v>170652383.95000002</v>
      </c>
      <c r="O55" s="185">
        <v>1921909.2789341088</v>
      </c>
      <c r="P55" s="185">
        <v>777820.77787467686</v>
      </c>
      <c r="Q55" s="185">
        <v>280249.96382428944</v>
      </c>
      <c r="R55" s="185">
        <v>3853808.3569790111</v>
      </c>
      <c r="S55" s="185">
        <v>23330.341724806203</v>
      </c>
      <c r="T55" s="185">
        <v>98837.209302325587</v>
      </c>
      <c r="U55" s="185">
        <v>32945.736434108527</v>
      </c>
      <c r="V55" s="185">
        <v>13579.811950904392</v>
      </c>
      <c r="W55" s="109">
        <f t="shared" si="1"/>
        <v>7002481.4770242311</v>
      </c>
      <c r="X55" s="109">
        <f t="shared" si="2"/>
        <v>177654865.42702425</v>
      </c>
    </row>
    <row r="56" spans="1:24" ht="20.45" customHeight="1">
      <c r="A56" s="7">
        <v>1500200063</v>
      </c>
      <c r="B56" s="229" t="s">
        <v>153</v>
      </c>
      <c r="C56" s="185">
        <v>17762423.709999997</v>
      </c>
      <c r="D56" s="185">
        <v>1800439</v>
      </c>
      <c r="E56" s="185">
        <v>301442.15000000002</v>
      </c>
      <c r="F56" s="185">
        <v>30897674.119999997</v>
      </c>
      <c r="G56" s="185">
        <v>3601888.6499999985</v>
      </c>
      <c r="H56" s="9"/>
      <c r="I56" s="9"/>
      <c r="J56" s="9"/>
      <c r="K56" s="424"/>
      <c r="L56" s="424"/>
      <c r="M56" s="424">
        <v>7504</v>
      </c>
      <c r="N56" s="185">
        <f t="shared" si="3"/>
        <v>54371371.629999988</v>
      </c>
      <c r="O56" s="185">
        <v>2374123.2269186052</v>
      </c>
      <c r="P56" s="185">
        <v>960837.43149224797</v>
      </c>
      <c r="Q56" s="185">
        <v>346191.13178294571</v>
      </c>
      <c r="R56" s="185">
        <v>4760586.7939152485</v>
      </c>
      <c r="S56" s="185">
        <v>28819.833895348835</v>
      </c>
      <c r="T56" s="185">
        <v>122093.02325581395</v>
      </c>
      <c r="U56" s="185">
        <v>40697.674418604649</v>
      </c>
      <c r="V56" s="185">
        <v>16775.061821705425</v>
      </c>
      <c r="W56" s="109">
        <f t="shared" si="1"/>
        <v>8650124.177500518</v>
      </c>
      <c r="X56" s="109">
        <f t="shared" si="2"/>
        <v>63021495.807500504</v>
      </c>
    </row>
    <row r="57" spans="1:24" ht="20.45" customHeight="1">
      <c r="A57" s="7">
        <v>1500200064</v>
      </c>
      <c r="B57" s="229" t="s">
        <v>155</v>
      </c>
      <c r="C57" s="185">
        <v>18743787.029999997</v>
      </c>
      <c r="D57" s="185">
        <v>2865220</v>
      </c>
      <c r="E57" s="185">
        <v>753461</v>
      </c>
      <c r="F57" s="185">
        <v>324332606.56999981</v>
      </c>
      <c r="G57" s="185">
        <v>36482.76</v>
      </c>
      <c r="H57" s="9"/>
      <c r="I57" s="9"/>
      <c r="J57" s="9"/>
      <c r="K57" s="424"/>
      <c r="L57" s="424"/>
      <c r="M57" s="424"/>
      <c r="N57" s="185">
        <f t="shared" si="3"/>
        <v>346731557.35999978</v>
      </c>
      <c r="O57" s="185">
        <v>1808855.791937985</v>
      </c>
      <c r="P57" s="185">
        <v>732066.61447028408</v>
      </c>
      <c r="Q57" s="185">
        <v>263764.6718346253</v>
      </c>
      <c r="R57" s="185">
        <v>3627113.7477449509</v>
      </c>
      <c r="S57" s="185">
        <v>21957.96868217054</v>
      </c>
      <c r="T57" s="185">
        <v>93023.255813953481</v>
      </c>
      <c r="U57" s="185">
        <v>31007.751937984496</v>
      </c>
      <c r="V57" s="185">
        <v>12780.999483204134</v>
      </c>
      <c r="W57" s="109">
        <f t="shared" si="1"/>
        <v>6590570.8019051589</v>
      </c>
      <c r="X57" s="109">
        <f t="shared" si="2"/>
        <v>353322128.16190493</v>
      </c>
    </row>
    <row r="58" spans="1:24" ht="20.45" customHeight="1">
      <c r="A58" s="7">
        <v>1500200065</v>
      </c>
      <c r="B58" s="229" t="s">
        <v>157</v>
      </c>
      <c r="C58" s="185">
        <v>20689697.640000004</v>
      </c>
      <c r="D58" s="185">
        <v>4878775</v>
      </c>
      <c r="E58" s="185">
        <v>1652053.63</v>
      </c>
      <c r="F58" s="185">
        <v>36052627.259999998</v>
      </c>
      <c r="G58" s="185">
        <v>6019683.1699999981</v>
      </c>
      <c r="H58" s="9"/>
      <c r="I58" s="9"/>
      <c r="J58" s="9"/>
      <c r="K58" s="424"/>
      <c r="L58" s="424"/>
      <c r="M58" s="112">
        <v>29227.25</v>
      </c>
      <c r="N58" s="185">
        <f t="shared" si="3"/>
        <v>69322063.950000003</v>
      </c>
      <c r="O58" s="185">
        <v>2148016.2529263571</v>
      </c>
      <c r="P58" s="185">
        <v>869329.1046834623</v>
      </c>
      <c r="Q58" s="185">
        <v>313220.54780361755</v>
      </c>
      <c r="R58" s="185">
        <v>4307197.57544713</v>
      </c>
      <c r="S58" s="185">
        <v>26075.087810077515</v>
      </c>
      <c r="T58" s="185">
        <v>110465.11627906977</v>
      </c>
      <c r="U58" s="185">
        <v>36821.705426356588</v>
      </c>
      <c r="V58" s="185">
        <v>15177.436886304908</v>
      </c>
      <c r="W58" s="109">
        <f t="shared" si="1"/>
        <v>7826302.8272623755</v>
      </c>
      <c r="X58" s="109">
        <f t="shared" si="2"/>
        <v>77148366.777262375</v>
      </c>
    </row>
    <row r="59" spans="1:24" ht="20.45" customHeight="1">
      <c r="A59" s="7">
        <v>1500200066</v>
      </c>
      <c r="B59" s="229" t="s">
        <v>159</v>
      </c>
      <c r="C59" s="185">
        <v>20155253.849999994</v>
      </c>
      <c r="D59" s="185">
        <v>65400</v>
      </c>
      <c r="E59" s="185">
        <v>1307021</v>
      </c>
      <c r="F59" s="185">
        <v>173625941.49000001</v>
      </c>
      <c r="G59" s="185">
        <v>2740343.57</v>
      </c>
      <c r="H59" s="9"/>
      <c r="I59" s="9">
        <v>3000</v>
      </c>
      <c r="J59" s="9"/>
      <c r="K59" s="424"/>
      <c r="L59" s="424"/>
      <c r="M59" s="424"/>
      <c r="N59" s="185">
        <f t="shared" si="3"/>
        <v>197896959.91</v>
      </c>
      <c r="O59" s="185">
        <v>1243588.3569573648</v>
      </c>
      <c r="P59" s="185">
        <v>503295.79744832031</v>
      </c>
      <c r="Q59" s="185">
        <v>181338.21188630493</v>
      </c>
      <c r="R59" s="185">
        <v>2493640.7015746543</v>
      </c>
      <c r="S59" s="185">
        <v>15096.103468992249</v>
      </c>
      <c r="T59" s="185">
        <v>63953.488372093023</v>
      </c>
      <c r="U59" s="185">
        <v>21317.82945736434</v>
      </c>
      <c r="V59" s="185">
        <v>8786.9371447028425</v>
      </c>
      <c r="W59" s="109">
        <f t="shared" si="1"/>
        <v>4531017.4263097961</v>
      </c>
      <c r="X59" s="109">
        <f t="shared" si="2"/>
        <v>202427977.33630979</v>
      </c>
    </row>
    <row r="60" spans="1:24" ht="20.45" customHeight="1">
      <c r="A60" s="7">
        <v>1500200067</v>
      </c>
      <c r="B60" s="229" t="s">
        <v>161</v>
      </c>
      <c r="C60" s="185">
        <v>24847033.949999999</v>
      </c>
      <c r="D60" s="185">
        <v>516700</v>
      </c>
      <c r="E60" s="185">
        <v>1664004</v>
      </c>
      <c r="F60" s="185">
        <v>587032849.42999995</v>
      </c>
      <c r="G60" s="185">
        <v>4599831.9000000004</v>
      </c>
      <c r="H60" s="185"/>
      <c r="I60" s="185"/>
      <c r="J60" s="9"/>
      <c r="K60" s="424"/>
      <c r="L60" s="424"/>
      <c r="M60" s="112">
        <v>2449.6999999999998</v>
      </c>
      <c r="N60" s="185">
        <f t="shared" si="3"/>
        <v>618662868.98000002</v>
      </c>
      <c r="O60" s="185">
        <v>1884224.7832687341</v>
      </c>
      <c r="P60" s="185">
        <v>762569.39007321268</v>
      </c>
      <c r="Q60" s="185">
        <v>274754.86649440136</v>
      </c>
      <c r="R60" s="185">
        <v>3778243.4872343247</v>
      </c>
      <c r="S60" s="185">
        <v>22872.884043927646</v>
      </c>
      <c r="T60" s="185">
        <v>96899.224806201557</v>
      </c>
      <c r="U60" s="185">
        <v>32299.741602067184</v>
      </c>
      <c r="V60" s="185">
        <v>13313.54112833764</v>
      </c>
      <c r="W60" s="109">
        <f t="shared" si="1"/>
        <v>6865177.9186512064</v>
      </c>
      <c r="X60" s="109">
        <f t="shared" si="2"/>
        <v>625528046.89865124</v>
      </c>
    </row>
    <row r="61" spans="1:24" ht="20.45" customHeight="1">
      <c r="A61" s="7">
        <v>1500200068</v>
      </c>
      <c r="B61" s="229" t="s">
        <v>163</v>
      </c>
      <c r="C61" s="185">
        <v>17620253.82</v>
      </c>
      <c r="D61" s="185">
        <v>1243530</v>
      </c>
      <c r="E61" s="185">
        <v>576896.66999999993</v>
      </c>
      <c r="F61" s="185">
        <v>56479945.490000002</v>
      </c>
      <c r="G61" s="185">
        <v>54443.66</v>
      </c>
      <c r="H61" s="9"/>
      <c r="I61" s="9"/>
      <c r="J61" s="9"/>
      <c r="K61" s="424"/>
      <c r="L61" s="424"/>
      <c r="M61" s="424"/>
      <c r="N61" s="185">
        <f t="shared" si="3"/>
        <v>75975069.640000001</v>
      </c>
      <c r="O61" s="185">
        <v>1846540.2876033599</v>
      </c>
      <c r="P61" s="185">
        <v>747318.00227174838</v>
      </c>
      <c r="Q61" s="185">
        <v>269259.76916451339</v>
      </c>
      <c r="R61" s="185">
        <v>3702678.6174896378</v>
      </c>
      <c r="S61" s="185">
        <v>22415.426363049093</v>
      </c>
      <c r="T61" s="185">
        <v>94961.240310077526</v>
      </c>
      <c r="U61" s="185">
        <v>31653.746770025838</v>
      </c>
      <c r="V61" s="185">
        <v>13047.270305770886</v>
      </c>
      <c r="W61" s="109">
        <f t="shared" si="1"/>
        <v>6727874.3602781827</v>
      </c>
      <c r="X61" s="109">
        <f t="shared" si="2"/>
        <v>82702944.00027819</v>
      </c>
    </row>
    <row r="62" spans="1:24" ht="20.45" customHeight="1">
      <c r="A62" s="7">
        <v>1500200069</v>
      </c>
      <c r="B62" s="229" t="s">
        <v>165</v>
      </c>
      <c r="C62" s="185">
        <v>15680178.660000002</v>
      </c>
      <c r="D62" s="9"/>
      <c r="E62" s="9"/>
      <c r="F62" s="185">
        <v>175892196.54999998</v>
      </c>
      <c r="G62" s="185">
        <v>1241870</v>
      </c>
      <c r="H62" s="9"/>
      <c r="I62" s="9"/>
      <c r="J62" s="9"/>
      <c r="K62" s="424"/>
      <c r="L62" s="424"/>
      <c r="M62" s="424"/>
      <c r="N62" s="185">
        <f t="shared" si="3"/>
        <v>192814245.20999998</v>
      </c>
      <c r="O62" s="185">
        <v>1658117.809276486</v>
      </c>
      <c r="P62" s="185">
        <v>671061.06326442701</v>
      </c>
      <c r="Q62" s="185">
        <v>241784.28251507322</v>
      </c>
      <c r="R62" s="185">
        <v>3324854.2687662053</v>
      </c>
      <c r="S62" s="185">
        <v>20128.137958656327</v>
      </c>
      <c r="T62" s="185">
        <v>85271.317829457359</v>
      </c>
      <c r="U62" s="185">
        <v>28423.77260981912</v>
      </c>
      <c r="V62" s="185">
        <v>11715.916192937122</v>
      </c>
      <c r="W62" s="109">
        <f t="shared" si="1"/>
        <v>6041356.5684130602</v>
      </c>
      <c r="X62" s="109">
        <f t="shared" si="2"/>
        <v>198855601.77841303</v>
      </c>
    </row>
    <row r="63" spans="1:24" ht="20.45" customHeight="1">
      <c r="A63" s="7">
        <v>1500200070</v>
      </c>
      <c r="B63" s="229" t="s">
        <v>167</v>
      </c>
      <c r="C63" s="185">
        <v>16958319.829999998</v>
      </c>
      <c r="D63" s="185">
        <v>1672266</v>
      </c>
      <c r="E63" s="185">
        <v>249870</v>
      </c>
      <c r="F63" s="185">
        <v>35867441.229999997</v>
      </c>
      <c r="G63" s="185">
        <v>962525.62000000023</v>
      </c>
      <c r="H63" s="9"/>
      <c r="I63" s="9"/>
      <c r="J63" s="9"/>
      <c r="K63" s="424"/>
      <c r="L63" s="424"/>
      <c r="M63" s="424"/>
      <c r="N63" s="185">
        <f t="shared" si="3"/>
        <v>55710422.679999992</v>
      </c>
      <c r="O63" s="185">
        <v>1733486.8006072352</v>
      </c>
      <c r="P63" s="185">
        <v>701563.8388673556</v>
      </c>
      <c r="Q63" s="185">
        <v>252774.47717484925</v>
      </c>
      <c r="R63" s="185">
        <v>3475984.0082555781</v>
      </c>
      <c r="S63" s="185">
        <v>21043.053320413437</v>
      </c>
      <c r="T63" s="185">
        <v>89147.28682170542</v>
      </c>
      <c r="U63" s="185">
        <v>29715.762273901808</v>
      </c>
      <c r="V63" s="185">
        <v>12248.457838070628</v>
      </c>
      <c r="W63" s="109">
        <f t="shared" si="1"/>
        <v>6315963.6851591095</v>
      </c>
      <c r="X63" s="109">
        <f t="shared" si="2"/>
        <v>62026386.365159102</v>
      </c>
    </row>
    <row r="64" spans="1:24" ht="20.45" customHeight="1">
      <c r="A64" s="7">
        <v>1500200071</v>
      </c>
      <c r="B64" s="229" t="s">
        <v>169</v>
      </c>
      <c r="C64" s="185">
        <v>17028848.619999997</v>
      </c>
      <c r="D64" s="185">
        <v>1868413</v>
      </c>
      <c r="E64" s="185">
        <v>557041</v>
      </c>
      <c r="F64" s="185">
        <v>160427927.07999998</v>
      </c>
      <c r="G64" s="185">
        <v>459646.0400000001</v>
      </c>
      <c r="H64" s="9"/>
      <c r="I64" s="9"/>
      <c r="J64" s="9"/>
      <c r="K64" s="424"/>
      <c r="L64" s="424"/>
      <c r="M64" s="424"/>
      <c r="N64" s="185">
        <f t="shared" si="3"/>
        <v>180341875.73999998</v>
      </c>
      <c r="O64" s="185">
        <v>1695802.3049418605</v>
      </c>
      <c r="P64" s="185">
        <v>686312.45106589142</v>
      </c>
      <c r="Q64" s="185">
        <v>247279.37984496122</v>
      </c>
      <c r="R64" s="185">
        <v>3400419.1385108917</v>
      </c>
      <c r="S64" s="185">
        <v>20585.595639534884</v>
      </c>
      <c r="T64" s="185">
        <v>87209.30232558139</v>
      </c>
      <c r="U64" s="185">
        <v>29069.767441860466</v>
      </c>
      <c r="V64" s="185">
        <v>11982.187015503876</v>
      </c>
      <c r="W64" s="109">
        <f t="shared" si="1"/>
        <v>6178660.1267860858</v>
      </c>
      <c r="X64" s="109">
        <f t="shared" si="2"/>
        <v>186520535.86678606</v>
      </c>
    </row>
    <row r="65" spans="1:24" ht="20.45" customHeight="1">
      <c r="A65" s="7">
        <v>1500200072</v>
      </c>
      <c r="B65" s="229" t="s">
        <v>171</v>
      </c>
      <c r="C65" s="185">
        <v>23529029.43</v>
      </c>
      <c r="D65" s="185">
        <v>3748595</v>
      </c>
      <c r="E65" s="185">
        <v>2198127.5099999998</v>
      </c>
      <c r="F65" s="185">
        <v>32762668.399999995</v>
      </c>
      <c r="G65" s="185">
        <v>6299.0000000000009</v>
      </c>
      <c r="H65" s="9"/>
      <c r="I65" s="9"/>
      <c r="J65" s="9"/>
      <c r="K65" s="424"/>
      <c r="L65" s="424"/>
      <c r="M65" s="424"/>
      <c r="N65" s="185">
        <f t="shared" si="3"/>
        <v>62244719.339999989</v>
      </c>
      <c r="O65" s="185">
        <v>1733486.8006072352</v>
      </c>
      <c r="P65" s="185">
        <v>701563.8388673556</v>
      </c>
      <c r="Q65" s="185">
        <v>252774.47717484925</v>
      </c>
      <c r="R65" s="185">
        <v>3475984.0082555781</v>
      </c>
      <c r="S65" s="185">
        <v>21043.053320413437</v>
      </c>
      <c r="T65" s="185">
        <v>89147.28682170542</v>
      </c>
      <c r="U65" s="185">
        <v>29715.762273901808</v>
      </c>
      <c r="V65" s="185">
        <v>12248.457838070628</v>
      </c>
      <c r="W65" s="109">
        <f t="shared" si="1"/>
        <v>6315963.6851591095</v>
      </c>
      <c r="X65" s="109">
        <f t="shared" si="2"/>
        <v>68560683.025159091</v>
      </c>
    </row>
    <row r="66" spans="1:24" ht="20.45" customHeight="1">
      <c r="A66" s="7">
        <v>1500200073</v>
      </c>
      <c r="B66" s="229" t="s">
        <v>173</v>
      </c>
      <c r="C66" s="185">
        <v>14323161.179999998</v>
      </c>
      <c r="D66" s="185">
        <v>441947</v>
      </c>
      <c r="E66" s="185">
        <v>321727</v>
      </c>
      <c r="F66" s="185">
        <v>26831123.879999999</v>
      </c>
      <c r="G66" s="185">
        <v>550666.56000000006</v>
      </c>
      <c r="H66" s="9"/>
      <c r="I66" s="9"/>
      <c r="J66" s="9"/>
      <c r="K66" s="424"/>
      <c r="L66" s="424"/>
      <c r="M66" s="424"/>
      <c r="N66" s="185">
        <f t="shared" si="3"/>
        <v>42468625.619999997</v>
      </c>
      <c r="O66" s="185">
        <v>1808855.791937985</v>
      </c>
      <c r="P66" s="185">
        <v>732066.61447028408</v>
      </c>
      <c r="Q66" s="185">
        <v>263764.6718346253</v>
      </c>
      <c r="R66" s="185">
        <v>3627113.7477449509</v>
      </c>
      <c r="S66" s="185">
        <v>21957.96868217054</v>
      </c>
      <c r="T66" s="185">
        <v>93023.255813953481</v>
      </c>
      <c r="U66" s="185">
        <v>31007.751937984496</v>
      </c>
      <c r="V66" s="185">
        <v>12780.999483204134</v>
      </c>
      <c r="W66" s="109">
        <f t="shared" si="1"/>
        <v>6590570.8019051589</v>
      </c>
      <c r="X66" s="109">
        <f t="shared" si="2"/>
        <v>49059196.42190516</v>
      </c>
    </row>
    <row r="67" spans="1:24" ht="20.45" customHeight="1">
      <c r="A67" s="7">
        <v>1500200074</v>
      </c>
      <c r="B67" s="229" t="s">
        <v>175</v>
      </c>
      <c r="C67" s="185">
        <v>16108790.099999998</v>
      </c>
      <c r="D67" s="185">
        <v>10792119</v>
      </c>
      <c r="E67" s="185">
        <v>1294176</v>
      </c>
      <c r="F67" s="185">
        <v>350144418.45999998</v>
      </c>
      <c r="G67" s="185">
        <v>10135476.720000001</v>
      </c>
      <c r="H67" s="9"/>
      <c r="I67" s="9"/>
      <c r="J67" s="9"/>
      <c r="K67" s="424">
        <v>0</v>
      </c>
      <c r="L67" s="424"/>
      <c r="M67" s="424">
        <v>4300</v>
      </c>
      <c r="N67" s="185">
        <f t="shared" si="3"/>
        <v>388479280.28000003</v>
      </c>
      <c r="O67" s="185">
        <v>1921909.2789341088</v>
      </c>
      <c r="P67" s="185">
        <v>777820.77787467686</v>
      </c>
      <c r="Q67" s="185">
        <v>280249.96382428944</v>
      </c>
      <c r="R67" s="185">
        <v>3853808.3569790111</v>
      </c>
      <c r="S67" s="185">
        <v>23330.341724806203</v>
      </c>
      <c r="T67" s="185">
        <v>98837.209302325587</v>
      </c>
      <c r="U67" s="185">
        <v>32945.736434108527</v>
      </c>
      <c r="V67" s="185">
        <v>13579.811950904392</v>
      </c>
      <c r="W67" s="109">
        <f t="shared" si="1"/>
        <v>7002481.4770242311</v>
      </c>
      <c r="X67" s="109">
        <f t="shared" si="2"/>
        <v>395481761.75702429</v>
      </c>
    </row>
    <row r="68" spans="1:24" ht="20.45" customHeight="1">
      <c r="A68" s="7">
        <v>1500200075</v>
      </c>
      <c r="B68" s="229" t="s">
        <v>177</v>
      </c>
      <c r="C68" s="185">
        <v>20057339.940000001</v>
      </c>
      <c r="D68" s="185">
        <v>2525210</v>
      </c>
      <c r="E68" s="185">
        <v>340338</v>
      </c>
      <c r="F68" s="185">
        <v>57397604.980000027</v>
      </c>
      <c r="G68" s="185">
        <v>400939.68</v>
      </c>
      <c r="H68" s="9"/>
      <c r="I68" s="9"/>
      <c r="J68" s="9"/>
      <c r="K68" s="424"/>
      <c r="L68" s="424"/>
      <c r="M68" s="424"/>
      <c r="N68" s="185">
        <f t="shared" si="3"/>
        <v>80721432.600000039</v>
      </c>
      <c r="O68" s="185">
        <v>1808855.791937985</v>
      </c>
      <c r="P68" s="185">
        <v>732066.61447028408</v>
      </c>
      <c r="Q68" s="185">
        <v>263764.6718346253</v>
      </c>
      <c r="R68" s="185">
        <v>3627113.7477449509</v>
      </c>
      <c r="S68" s="185">
        <v>21957.96868217054</v>
      </c>
      <c r="T68" s="185">
        <v>93023.255813953481</v>
      </c>
      <c r="U68" s="185">
        <v>31007.751937984496</v>
      </c>
      <c r="V68" s="185">
        <v>12780.999483204134</v>
      </c>
      <c r="W68" s="109">
        <f t="shared" si="1"/>
        <v>6590570.8019051589</v>
      </c>
      <c r="X68" s="109">
        <f t="shared" si="2"/>
        <v>87312003.401905194</v>
      </c>
    </row>
    <row r="69" spans="1:24" ht="20.45" customHeight="1">
      <c r="A69" s="7">
        <v>1500200076</v>
      </c>
      <c r="B69" s="229" t="s">
        <v>301</v>
      </c>
      <c r="C69" s="185">
        <v>19341109.789999999</v>
      </c>
      <c r="D69" s="9">
        <v>33580</v>
      </c>
      <c r="E69" s="185">
        <v>915876</v>
      </c>
      <c r="F69" s="185">
        <v>69633469.780000001</v>
      </c>
      <c r="G69" s="185">
        <v>9038432.3999999985</v>
      </c>
      <c r="H69" s="424">
        <v>100000</v>
      </c>
      <c r="I69" s="9"/>
      <c r="J69" s="9"/>
      <c r="K69" s="424"/>
      <c r="L69" s="424"/>
      <c r="M69" s="424"/>
      <c r="N69" s="185">
        <f t="shared" si="3"/>
        <v>99062467.969999999</v>
      </c>
      <c r="O69" s="185">
        <v>2223385.2442571064</v>
      </c>
      <c r="P69" s="185">
        <v>899831.88028639089</v>
      </c>
      <c r="Q69" s="185">
        <v>324210.74246339366</v>
      </c>
      <c r="R69" s="185">
        <v>4458327.3149365028</v>
      </c>
      <c r="S69" s="185">
        <v>26990.003171834622</v>
      </c>
      <c r="T69" s="185">
        <v>114341.08527131783</v>
      </c>
      <c r="U69" s="185">
        <v>38113.69509043928</v>
      </c>
      <c r="V69" s="185">
        <v>15709.978531438415</v>
      </c>
      <c r="W69" s="109">
        <f t="shared" si="1"/>
        <v>8100909.9440084239</v>
      </c>
      <c r="X69" s="109">
        <f t="shared" si="2"/>
        <v>107163377.91400842</v>
      </c>
    </row>
    <row r="70" spans="1:24" ht="20.45" customHeight="1">
      <c r="A70" s="7">
        <v>1500200077</v>
      </c>
      <c r="B70" s="229" t="s">
        <v>180</v>
      </c>
      <c r="C70" s="185">
        <v>16788353.75</v>
      </c>
      <c r="D70" s="185">
        <v>5818320</v>
      </c>
      <c r="E70" s="185">
        <v>418236</v>
      </c>
      <c r="F70" s="185">
        <v>77112292.390000015</v>
      </c>
      <c r="G70" s="185">
        <v>38933828.029999979</v>
      </c>
      <c r="H70" s="424"/>
      <c r="I70" s="9"/>
      <c r="J70" s="9"/>
      <c r="K70" s="424"/>
      <c r="L70" s="424"/>
      <c r="M70" s="424"/>
      <c r="N70" s="185">
        <f t="shared" si="3"/>
        <v>139071030.16999999</v>
      </c>
      <c r="O70" s="185">
        <v>1318957.3482881142</v>
      </c>
      <c r="P70" s="185">
        <v>533798.57305124879</v>
      </c>
      <c r="Q70" s="185">
        <v>192328.40654608095</v>
      </c>
      <c r="R70" s="185">
        <v>2644770.4410640271</v>
      </c>
      <c r="S70" s="185">
        <v>16011.018830749354</v>
      </c>
      <c r="T70" s="185">
        <v>67829.457364341084</v>
      </c>
      <c r="U70" s="185">
        <v>22609.819121447028</v>
      </c>
      <c r="V70" s="185">
        <v>9319.4787898363484</v>
      </c>
      <c r="W70" s="109">
        <f t="shared" si="1"/>
        <v>4805624.5430558454</v>
      </c>
      <c r="X70" s="109">
        <f t="shared" si="2"/>
        <v>143876654.71305582</v>
      </c>
    </row>
    <row r="71" spans="1:24" ht="20.45" customHeight="1">
      <c r="A71" s="7">
        <v>1500200078</v>
      </c>
      <c r="B71" s="229" t="s">
        <v>182</v>
      </c>
      <c r="C71" s="185">
        <v>21236724.440000001</v>
      </c>
      <c r="D71" s="185">
        <v>4017812</v>
      </c>
      <c r="E71" s="185">
        <v>253668</v>
      </c>
      <c r="F71" s="185">
        <v>24606921.930000003</v>
      </c>
      <c r="G71" s="185">
        <v>41550669.530000009</v>
      </c>
      <c r="H71" s="424"/>
      <c r="I71" s="9"/>
      <c r="J71" s="9"/>
      <c r="K71" s="424"/>
      <c r="L71" s="424"/>
      <c r="M71" s="112"/>
      <c r="N71" s="185">
        <f t="shared" ref="N71:N91" si="4">SUM(C71:M71)</f>
        <v>91665795.900000006</v>
      </c>
      <c r="O71" s="185">
        <v>1733486.8006072352</v>
      </c>
      <c r="P71" s="185">
        <v>701563.8388673556</v>
      </c>
      <c r="Q71" s="185">
        <v>252774.47717484925</v>
      </c>
      <c r="R71" s="185">
        <v>3475984.0082555781</v>
      </c>
      <c r="S71" s="185">
        <v>21043.053320413437</v>
      </c>
      <c r="T71" s="185">
        <v>89147.28682170542</v>
      </c>
      <c r="U71" s="185">
        <v>29715.762273901808</v>
      </c>
      <c r="V71" s="185">
        <v>12248.457838070628</v>
      </c>
      <c r="W71" s="109">
        <f t="shared" si="1"/>
        <v>6315963.6851591095</v>
      </c>
      <c r="X71" s="109">
        <f t="shared" si="2"/>
        <v>97981759.585159123</v>
      </c>
    </row>
    <row r="72" spans="1:24" ht="20.45" customHeight="1">
      <c r="A72" s="7">
        <v>1500200079</v>
      </c>
      <c r="B72" s="229" t="s">
        <v>184</v>
      </c>
      <c r="C72" s="185">
        <v>15099420.24</v>
      </c>
      <c r="D72" s="185"/>
      <c r="E72" s="185">
        <v>54934.439999999995</v>
      </c>
      <c r="F72" s="185">
        <v>21192910.800000001</v>
      </c>
      <c r="G72" s="185">
        <v>2405098.87</v>
      </c>
      <c r="H72" s="424"/>
      <c r="I72" s="9"/>
      <c r="J72" s="9"/>
      <c r="K72" s="424"/>
      <c r="L72" s="424"/>
      <c r="M72" s="424"/>
      <c r="N72" s="185">
        <f t="shared" si="4"/>
        <v>38752364.350000001</v>
      </c>
      <c r="O72" s="185">
        <v>1695802.3049418605</v>
      </c>
      <c r="P72" s="185">
        <v>686312.45106589142</v>
      </c>
      <c r="Q72" s="185">
        <v>247279.37984496122</v>
      </c>
      <c r="R72" s="185">
        <v>3400419.1385108917</v>
      </c>
      <c r="S72" s="185">
        <v>20585.595639534884</v>
      </c>
      <c r="T72" s="185">
        <v>87209.30232558139</v>
      </c>
      <c r="U72" s="185">
        <v>29069.767441860466</v>
      </c>
      <c r="V72" s="185">
        <v>11982.187015503876</v>
      </c>
      <c r="W72" s="109">
        <f t="shared" ref="W72:W91" si="5">SUM(O72:V72)</f>
        <v>6178660.1267860858</v>
      </c>
      <c r="X72" s="109">
        <f t="shared" ref="X72:X91" si="6">W72+N72</f>
        <v>44931024.476786084</v>
      </c>
    </row>
    <row r="73" spans="1:24" ht="20.45" customHeight="1">
      <c r="A73" s="7">
        <v>1500200080</v>
      </c>
      <c r="B73" s="229" t="s">
        <v>186</v>
      </c>
      <c r="C73" s="185">
        <v>16910201.079999998</v>
      </c>
      <c r="D73" s="185">
        <v>1718460</v>
      </c>
      <c r="E73" s="185">
        <v>126847</v>
      </c>
      <c r="F73" s="185">
        <v>11344809.76</v>
      </c>
      <c r="G73" s="185">
        <v>83950</v>
      </c>
      <c r="H73" s="424"/>
      <c r="I73" s="9"/>
      <c r="J73" s="9"/>
      <c r="K73" s="424"/>
      <c r="L73" s="424"/>
      <c r="M73" s="424"/>
      <c r="N73" s="185">
        <f t="shared" si="4"/>
        <v>30184267.839999996</v>
      </c>
      <c r="O73" s="185">
        <v>1695802.3049418605</v>
      </c>
      <c r="P73" s="185">
        <v>686312.45106589142</v>
      </c>
      <c r="Q73" s="185">
        <v>247279.37984496122</v>
      </c>
      <c r="R73" s="185">
        <v>3400419.1385108917</v>
      </c>
      <c r="S73" s="185">
        <v>20585.595639534884</v>
      </c>
      <c r="T73" s="185">
        <v>87209.30232558139</v>
      </c>
      <c r="U73" s="185">
        <v>29069.767441860466</v>
      </c>
      <c r="V73" s="185">
        <v>11982.187015503876</v>
      </c>
      <c r="W73" s="109">
        <f t="shared" si="5"/>
        <v>6178660.1267860858</v>
      </c>
      <c r="X73" s="109">
        <f t="shared" si="6"/>
        <v>36362927.966786079</v>
      </c>
    </row>
    <row r="74" spans="1:24" ht="20.45" customHeight="1">
      <c r="A74" s="7">
        <v>1500200081</v>
      </c>
      <c r="B74" s="229" t="s">
        <v>188</v>
      </c>
      <c r="C74" s="185">
        <v>17836054.84</v>
      </c>
      <c r="D74" s="185">
        <v>1833270</v>
      </c>
      <c r="E74" s="185">
        <v>1026760.53</v>
      </c>
      <c r="F74" s="185">
        <v>25723194.829999994</v>
      </c>
      <c r="G74" s="185">
        <v>5195953.4899999993</v>
      </c>
      <c r="H74" s="424"/>
      <c r="I74" s="9"/>
      <c r="J74" s="9"/>
      <c r="K74" s="424"/>
      <c r="L74" s="424"/>
      <c r="M74" s="424"/>
      <c r="N74" s="185">
        <f t="shared" si="4"/>
        <v>51615233.689999998</v>
      </c>
      <c r="O74" s="185">
        <v>2223385.2442571064</v>
      </c>
      <c r="P74" s="185">
        <v>899831.88028639089</v>
      </c>
      <c r="Q74" s="185">
        <v>324210.74246339366</v>
      </c>
      <c r="R74" s="185">
        <v>4458327.3149365028</v>
      </c>
      <c r="S74" s="185">
        <v>26990.003171834622</v>
      </c>
      <c r="T74" s="185">
        <v>114341.08527131783</v>
      </c>
      <c r="U74" s="185">
        <v>38113.69509043928</v>
      </c>
      <c r="V74" s="185">
        <v>15709.978531438415</v>
      </c>
      <c r="W74" s="109">
        <f t="shared" si="5"/>
        <v>8100909.9440084239</v>
      </c>
      <c r="X74" s="109">
        <f t="shared" si="6"/>
        <v>59716143.634008422</v>
      </c>
    </row>
    <row r="75" spans="1:24" ht="20.45" customHeight="1">
      <c r="A75" s="7">
        <v>1500200082</v>
      </c>
      <c r="B75" s="229" t="s">
        <v>190</v>
      </c>
      <c r="C75" s="185">
        <v>17735224.539999999</v>
      </c>
      <c r="D75" s="185">
        <v>2359868</v>
      </c>
      <c r="E75" s="185">
        <v>840143</v>
      </c>
      <c r="F75" s="185">
        <v>13383948.530000003</v>
      </c>
      <c r="G75" s="185">
        <v>10332114.470000003</v>
      </c>
      <c r="H75" s="424"/>
      <c r="I75" s="9"/>
      <c r="J75" s="9"/>
      <c r="K75" s="424"/>
      <c r="L75" s="424"/>
      <c r="M75" s="424"/>
      <c r="N75" s="185">
        <f t="shared" si="4"/>
        <v>44651298.540000007</v>
      </c>
      <c r="O75" s="185">
        <v>2110331.7572609824</v>
      </c>
      <c r="P75" s="185">
        <v>854077.71688199812</v>
      </c>
      <c r="Q75" s="185">
        <v>307725.45047372952</v>
      </c>
      <c r="R75" s="185">
        <v>4231632.7057024427</v>
      </c>
      <c r="S75" s="185">
        <v>25617.630129198966</v>
      </c>
      <c r="T75" s="185">
        <v>108527.13178294574</v>
      </c>
      <c r="U75" s="185">
        <v>36175.710594315242</v>
      </c>
      <c r="V75" s="185">
        <v>14911.166063738157</v>
      </c>
      <c r="W75" s="109">
        <f t="shared" si="5"/>
        <v>7688999.2688893508</v>
      </c>
      <c r="X75" s="109">
        <f t="shared" si="6"/>
        <v>52340297.808889359</v>
      </c>
    </row>
    <row r="76" spans="1:24" ht="20.45" customHeight="1">
      <c r="A76" s="7">
        <v>1500200083</v>
      </c>
      <c r="B76" s="229" t="s">
        <v>192</v>
      </c>
      <c r="C76" s="185">
        <v>26018846.850000001</v>
      </c>
      <c r="D76" s="185">
        <v>931135.35</v>
      </c>
      <c r="E76" s="185">
        <v>430069.25</v>
      </c>
      <c r="F76" s="185">
        <v>22859241.769999996</v>
      </c>
      <c r="G76" s="185">
        <v>7786470.4299999997</v>
      </c>
      <c r="H76" s="424">
        <v>16900</v>
      </c>
      <c r="I76" s="9"/>
      <c r="J76" s="9"/>
      <c r="K76" s="424"/>
      <c r="L76" s="424"/>
      <c r="M76" s="112">
        <v>198080</v>
      </c>
      <c r="N76" s="185">
        <f t="shared" si="4"/>
        <v>58240743.649999999</v>
      </c>
      <c r="O76" s="185">
        <v>2562545.705245479</v>
      </c>
      <c r="P76" s="185">
        <v>1037094.3704995692</v>
      </c>
      <c r="Q76" s="185">
        <v>373666.61843238585</v>
      </c>
      <c r="R76" s="185">
        <v>5138411.1426386805</v>
      </c>
      <c r="S76" s="185">
        <v>31107.122299741597</v>
      </c>
      <c r="T76" s="185">
        <v>131782.94573643411</v>
      </c>
      <c r="U76" s="185">
        <v>43927.648578811371</v>
      </c>
      <c r="V76" s="185">
        <v>18106.415934539189</v>
      </c>
      <c r="W76" s="109">
        <f t="shared" si="5"/>
        <v>9336641.9693656396</v>
      </c>
      <c r="X76" s="109">
        <f t="shared" si="6"/>
        <v>67577385.619365633</v>
      </c>
    </row>
    <row r="77" spans="1:24" ht="20.45" customHeight="1">
      <c r="A77" s="7">
        <v>1500200084</v>
      </c>
      <c r="B77" s="229" t="s">
        <v>194</v>
      </c>
      <c r="C77" s="185">
        <v>15789778.010000002</v>
      </c>
      <c r="D77" s="9"/>
      <c r="E77" s="185">
        <v>1253140</v>
      </c>
      <c r="F77" s="185">
        <v>29320403.899999999</v>
      </c>
      <c r="G77" s="185">
        <v>475664.67</v>
      </c>
      <c r="H77" s="424"/>
      <c r="I77" s="9"/>
      <c r="J77" s="9"/>
      <c r="K77" s="424"/>
      <c r="L77" s="424"/>
      <c r="M77" s="112">
        <v>64600.74</v>
      </c>
      <c r="N77" s="185">
        <f t="shared" si="4"/>
        <v>46903587.32</v>
      </c>
      <c r="O77" s="185">
        <v>1432010.8352842384</v>
      </c>
      <c r="P77" s="185">
        <v>579552.73645564157</v>
      </c>
      <c r="Q77" s="185">
        <v>208813.69853574506</v>
      </c>
      <c r="R77" s="185">
        <v>2871465.0502980868</v>
      </c>
      <c r="S77" s="185">
        <v>17383.391873385015</v>
      </c>
      <c r="T77" s="185">
        <v>73643.410852713176</v>
      </c>
      <c r="U77" s="185">
        <v>24547.803617571059</v>
      </c>
      <c r="V77" s="185">
        <v>10118.291257536606</v>
      </c>
      <c r="W77" s="109">
        <f t="shared" si="5"/>
        <v>5217535.2181749186</v>
      </c>
      <c r="X77" s="109">
        <f t="shared" si="6"/>
        <v>52121122.53817492</v>
      </c>
    </row>
    <row r="78" spans="1:24" ht="20.45" customHeight="1">
      <c r="A78" s="7">
        <v>1500200085</v>
      </c>
      <c r="B78" s="229" t="s">
        <v>196</v>
      </c>
      <c r="C78" s="185">
        <v>18658206.919999998</v>
      </c>
      <c r="D78" s="185">
        <v>1682024</v>
      </c>
      <c r="E78" s="185">
        <v>356617</v>
      </c>
      <c r="F78" s="185">
        <v>28552325.240000006</v>
      </c>
      <c r="G78" s="185">
        <v>4270630.5299999993</v>
      </c>
      <c r="H78" s="9"/>
      <c r="I78" s="9"/>
      <c r="J78" s="9"/>
      <c r="K78" s="112"/>
      <c r="L78" s="112"/>
      <c r="M78" s="424"/>
      <c r="N78" s="185">
        <f t="shared" si="4"/>
        <v>53519803.690000005</v>
      </c>
      <c r="O78" s="185">
        <v>1507379.8266149871</v>
      </c>
      <c r="P78" s="185">
        <v>610055.51205857005</v>
      </c>
      <c r="Q78" s="185">
        <v>219803.89319552112</v>
      </c>
      <c r="R78" s="185">
        <v>3022594.7897874597</v>
      </c>
      <c r="S78" s="185">
        <v>18298.307235142118</v>
      </c>
      <c r="T78" s="185">
        <v>77519.379844961237</v>
      </c>
      <c r="U78" s="185">
        <v>25839.793281653747</v>
      </c>
      <c r="V78" s="185">
        <v>10650.832902670112</v>
      </c>
      <c r="W78" s="109">
        <f t="shared" si="5"/>
        <v>5492142.3349209651</v>
      </c>
      <c r="X78" s="109">
        <f t="shared" si="6"/>
        <v>59011946.02492097</v>
      </c>
    </row>
    <row r="79" spans="1:24" ht="20.45" customHeight="1">
      <c r="A79" s="7">
        <v>1500200086</v>
      </c>
      <c r="B79" s="229" t="s">
        <v>198</v>
      </c>
      <c r="C79" s="185">
        <v>17573773.48</v>
      </c>
      <c r="D79" s="185">
        <v>1922307</v>
      </c>
      <c r="E79" s="185">
        <v>451554.76</v>
      </c>
      <c r="F79" s="185">
        <v>17079466.73</v>
      </c>
      <c r="G79" s="185">
        <v>13165758.470000003</v>
      </c>
      <c r="H79" s="9"/>
      <c r="I79" s="9"/>
      <c r="J79" s="9"/>
      <c r="K79" s="424"/>
      <c r="L79" s="424"/>
      <c r="M79" s="112"/>
      <c r="N79" s="185">
        <f t="shared" si="4"/>
        <v>50192860.439999998</v>
      </c>
      <c r="O79" s="185">
        <v>2223385.2442571064</v>
      </c>
      <c r="P79" s="185">
        <v>899831.88028639089</v>
      </c>
      <c r="Q79" s="185">
        <v>324210.74246339366</v>
      </c>
      <c r="R79" s="185">
        <v>4458327.3149365028</v>
      </c>
      <c r="S79" s="185">
        <v>26990.003171834622</v>
      </c>
      <c r="T79" s="185">
        <v>114341.08527131783</v>
      </c>
      <c r="U79" s="185">
        <v>38113.69509043928</v>
      </c>
      <c r="V79" s="185">
        <v>15709.978531438415</v>
      </c>
      <c r="W79" s="109">
        <f t="shared" si="5"/>
        <v>8100909.9440084239</v>
      </c>
      <c r="X79" s="109">
        <f t="shared" si="6"/>
        <v>58293770.384008422</v>
      </c>
    </row>
    <row r="80" spans="1:24" ht="20.45" customHeight="1">
      <c r="A80" s="7">
        <v>1500200087</v>
      </c>
      <c r="B80" s="229" t="s">
        <v>302</v>
      </c>
      <c r="C80" s="185">
        <v>27221400.750000004</v>
      </c>
      <c r="D80" s="185">
        <v>4637720</v>
      </c>
      <c r="E80" s="185">
        <v>1334062.1000000001</v>
      </c>
      <c r="F80" s="185">
        <v>40903496.649999991</v>
      </c>
      <c r="G80" s="185">
        <v>927342.21</v>
      </c>
      <c r="H80" s="9"/>
      <c r="I80" s="9"/>
      <c r="J80" s="9"/>
      <c r="K80" s="424"/>
      <c r="L80" s="424"/>
      <c r="M80" s="112"/>
      <c r="N80" s="185">
        <f t="shared" si="4"/>
        <v>75024021.709999993</v>
      </c>
      <c r="O80" s="185">
        <v>2185700.7485917318</v>
      </c>
      <c r="P80" s="185">
        <v>884580.49248492671</v>
      </c>
      <c r="Q80" s="185">
        <v>318715.64513350558</v>
      </c>
      <c r="R80" s="185">
        <v>4382762.4451918155</v>
      </c>
      <c r="S80" s="185">
        <v>26532.545490956069</v>
      </c>
      <c r="T80" s="185">
        <v>112403.1007751938</v>
      </c>
      <c r="U80" s="185">
        <v>37467.700258397934</v>
      </c>
      <c r="V80" s="185">
        <v>15443.707708871661</v>
      </c>
      <c r="W80" s="109">
        <f t="shared" si="5"/>
        <v>7963606.3856353983</v>
      </c>
      <c r="X80" s="109">
        <f t="shared" si="6"/>
        <v>82987628.095635384</v>
      </c>
    </row>
    <row r="81" spans="1:30" ht="20.45" customHeight="1">
      <c r="A81" s="7">
        <v>1500200088</v>
      </c>
      <c r="B81" s="229" t="s">
        <v>201</v>
      </c>
      <c r="C81" s="185">
        <v>16585891.73</v>
      </c>
      <c r="D81" s="185">
        <v>89550</v>
      </c>
      <c r="E81" s="185">
        <v>978121</v>
      </c>
      <c r="F81" s="185">
        <v>24783125.91</v>
      </c>
      <c r="G81" s="185">
        <v>24201705.890000015</v>
      </c>
      <c r="H81" s="9"/>
      <c r="I81" s="9"/>
      <c r="J81" s="9"/>
      <c r="K81" s="424"/>
      <c r="L81" s="424"/>
      <c r="M81" s="424"/>
      <c r="N81" s="185">
        <f t="shared" si="4"/>
        <v>66638394.530000016</v>
      </c>
      <c r="O81" s="185">
        <v>1545064.322280362</v>
      </c>
      <c r="P81" s="185">
        <v>625306.89986003435</v>
      </c>
      <c r="Q81" s="185">
        <v>225298.99052540914</v>
      </c>
      <c r="R81" s="185">
        <v>3098159.6595321465</v>
      </c>
      <c r="S81" s="185">
        <v>18755.764916020671</v>
      </c>
      <c r="T81" s="185">
        <v>79457.364341085267</v>
      </c>
      <c r="U81" s="185">
        <v>26485.788113695089</v>
      </c>
      <c r="V81" s="185">
        <v>10917.103725236864</v>
      </c>
      <c r="W81" s="109">
        <f t="shared" si="5"/>
        <v>5629445.8932939889</v>
      </c>
      <c r="X81" s="109">
        <f t="shared" si="6"/>
        <v>72267840.423294008</v>
      </c>
    </row>
    <row r="82" spans="1:30" ht="20.45" customHeight="1">
      <c r="A82" s="7">
        <v>1500200089</v>
      </c>
      <c r="B82" s="229" t="s">
        <v>203</v>
      </c>
      <c r="C82" s="185">
        <v>16330848.549999999</v>
      </c>
      <c r="D82" s="185">
        <v>802440</v>
      </c>
      <c r="E82" s="185">
        <v>127699</v>
      </c>
      <c r="F82" s="185">
        <v>17081173.299999997</v>
      </c>
      <c r="G82" s="185">
        <v>103911634.31999993</v>
      </c>
      <c r="H82" s="9"/>
      <c r="I82" s="9"/>
      <c r="J82" s="9"/>
      <c r="K82" s="424"/>
      <c r="L82" s="424"/>
      <c r="M82" s="424">
        <v>156250</v>
      </c>
      <c r="N82" s="185">
        <f t="shared" si="4"/>
        <v>138410045.16999993</v>
      </c>
      <c r="O82" s="185">
        <v>1921909.2789341088</v>
      </c>
      <c r="P82" s="185">
        <v>777820.77787467686</v>
      </c>
      <c r="Q82" s="185">
        <v>280249.96382428944</v>
      </c>
      <c r="R82" s="185">
        <v>3853808.3569790111</v>
      </c>
      <c r="S82" s="185">
        <v>23330.341724806203</v>
      </c>
      <c r="T82" s="185">
        <v>98837.209302325587</v>
      </c>
      <c r="U82" s="185">
        <v>32945.736434108527</v>
      </c>
      <c r="V82" s="185">
        <v>13579.811950904392</v>
      </c>
      <c r="W82" s="109">
        <f t="shared" si="5"/>
        <v>7002481.4770242311</v>
      </c>
      <c r="X82" s="109">
        <f t="shared" si="6"/>
        <v>145412526.64702415</v>
      </c>
    </row>
    <row r="83" spans="1:30" ht="20.45" customHeight="1">
      <c r="A83" s="7">
        <v>1500200090</v>
      </c>
      <c r="B83" s="229" t="s">
        <v>205</v>
      </c>
      <c r="C83" s="185">
        <v>26757476.520000003</v>
      </c>
      <c r="D83" s="185">
        <v>2971030</v>
      </c>
      <c r="E83" s="185">
        <v>2755577.4499999997</v>
      </c>
      <c r="F83" s="185">
        <v>82558606.330000013</v>
      </c>
      <c r="G83" s="185">
        <v>17028342.989999991</v>
      </c>
      <c r="H83" s="9"/>
      <c r="I83" s="9"/>
      <c r="J83" s="9"/>
      <c r="K83" s="424"/>
      <c r="L83" s="424"/>
      <c r="M83" s="112"/>
      <c r="N83" s="185">
        <f t="shared" si="4"/>
        <v>132071033.29000001</v>
      </c>
      <c r="O83" s="185">
        <v>2223385.2442571064</v>
      </c>
      <c r="P83" s="185">
        <v>899831.88028639089</v>
      </c>
      <c r="Q83" s="185">
        <v>324210.74246339366</v>
      </c>
      <c r="R83" s="185">
        <v>4458327.3149365028</v>
      </c>
      <c r="S83" s="185">
        <v>26990.003171834622</v>
      </c>
      <c r="T83" s="185">
        <v>114341.08527131783</v>
      </c>
      <c r="U83" s="185">
        <v>38113.69509043928</v>
      </c>
      <c r="V83" s="185">
        <v>15709.978531438415</v>
      </c>
      <c r="W83" s="109">
        <f t="shared" si="5"/>
        <v>8100909.9440084239</v>
      </c>
      <c r="X83" s="109">
        <f t="shared" si="6"/>
        <v>140171943.23400843</v>
      </c>
    </row>
    <row r="84" spans="1:30" ht="20.45" customHeight="1">
      <c r="A84" s="7">
        <v>1500200091</v>
      </c>
      <c r="B84" s="229" t="s">
        <v>207</v>
      </c>
      <c r="C84" s="185">
        <v>15783984.439999999</v>
      </c>
      <c r="D84" s="185">
        <v>6825852.25</v>
      </c>
      <c r="E84" s="185">
        <v>603710.5</v>
      </c>
      <c r="F84" s="185">
        <v>83047147.659999982</v>
      </c>
      <c r="G84" s="185">
        <v>1639085.74</v>
      </c>
      <c r="H84" s="9"/>
      <c r="I84" s="9"/>
      <c r="J84" s="9"/>
      <c r="K84" s="424"/>
      <c r="L84" s="424"/>
      <c r="M84" s="424"/>
      <c r="N84" s="185">
        <f t="shared" si="4"/>
        <v>107899780.58999997</v>
      </c>
      <c r="O84" s="185">
        <v>1695802.3049418605</v>
      </c>
      <c r="P84" s="185">
        <v>686312.45106589142</v>
      </c>
      <c r="Q84" s="185">
        <v>247279.37984496122</v>
      </c>
      <c r="R84" s="185">
        <v>3400419.1385108917</v>
      </c>
      <c r="S84" s="185">
        <v>20585.595639534884</v>
      </c>
      <c r="T84" s="185">
        <v>87209.30232558139</v>
      </c>
      <c r="U84" s="185">
        <v>29069.767441860466</v>
      </c>
      <c r="V84" s="185">
        <v>11982.187015503876</v>
      </c>
      <c r="W84" s="109">
        <f t="shared" si="5"/>
        <v>6178660.1267860858</v>
      </c>
      <c r="X84" s="109">
        <f t="shared" si="6"/>
        <v>114078440.71678606</v>
      </c>
    </row>
    <row r="85" spans="1:30" ht="20.45" customHeight="1">
      <c r="A85" s="7">
        <v>1500200092</v>
      </c>
      <c r="B85" s="229" t="s">
        <v>209</v>
      </c>
      <c r="C85" s="185">
        <v>20490144.18</v>
      </c>
      <c r="D85" s="185"/>
      <c r="E85" s="185">
        <v>208675.7</v>
      </c>
      <c r="F85" s="185">
        <v>23462685.699999999</v>
      </c>
      <c r="G85" s="185">
        <v>4187524.7799999993</v>
      </c>
      <c r="H85" s="9"/>
      <c r="I85" s="9"/>
      <c r="J85" s="9"/>
      <c r="K85" s="424"/>
      <c r="L85" s="424"/>
      <c r="M85" s="424">
        <v>2706</v>
      </c>
      <c r="N85" s="185">
        <f t="shared" si="4"/>
        <v>48351736.359999999</v>
      </c>
      <c r="O85" s="185">
        <v>1884224.7832687341</v>
      </c>
      <c r="P85" s="185">
        <v>762569.39007321268</v>
      </c>
      <c r="Q85" s="185">
        <v>274754.86649440136</v>
      </c>
      <c r="R85" s="185">
        <v>3778243.4872343247</v>
      </c>
      <c r="S85" s="185">
        <v>22872.884043927646</v>
      </c>
      <c r="T85" s="185">
        <v>96899.224806201557</v>
      </c>
      <c r="U85" s="185">
        <v>32299.741602067184</v>
      </c>
      <c r="V85" s="185">
        <v>13313.54112833764</v>
      </c>
      <c r="W85" s="109">
        <f t="shared" si="5"/>
        <v>6865177.9186512064</v>
      </c>
      <c r="X85" s="109">
        <f t="shared" si="6"/>
        <v>55216914.278651208</v>
      </c>
    </row>
    <row r="86" spans="1:30" ht="20.45" customHeight="1">
      <c r="A86" s="7">
        <v>1500200093</v>
      </c>
      <c r="B86" s="229" t="s">
        <v>211</v>
      </c>
      <c r="C86" s="185">
        <v>20287382.760000002</v>
      </c>
      <c r="D86" s="9">
        <v>1082155</v>
      </c>
      <c r="E86" s="185">
        <v>1096219.5</v>
      </c>
      <c r="F86" s="185">
        <v>230575938.57000002</v>
      </c>
      <c r="G86" s="185">
        <v>1039295.7300000001</v>
      </c>
      <c r="H86" s="9"/>
      <c r="I86" s="9"/>
      <c r="J86" s="185"/>
      <c r="K86" s="424"/>
      <c r="L86" s="424"/>
      <c r="M86" s="112"/>
      <c r="N86" s="185">
        <f t="shared" si="4"/>
        <v>254080991.56</v>
      </c>
      <c r="O86" s="185">
        <v>1733486.8006072352</v>
      </c>
      <c r="P86" s="185">
        <v>701563.8388673556</v>
      </c>
      <c r="Q86" s="185">
        <v>252774.47717484925</v>
      </c>
      <c r="R86" s="185">
        <v>3475984.0082555781</v>
      </c>
      <c r="S86" s="185">
        <v>21043.053320413437</v>
      </c>
      <c r="T86" s="185">
        <v>89147.28682170542</v>
      </c>
      <c r="U86" s="185">
        <v>29715.762273901808</v>
      </c>
      <c r="V86" s="185">
        <v>12248.457838070628</v>
      </c>
      <c r="W86" s="109">
        <f t="shared" si="5"/>
        <v>6315963.6851591095</v>
      </c>
      <c r="X86" s="109">
        <f t="shared" si="6"/>
        <v>260396955.24515912</v>
      </c>
    </row>
    <row r="87" spans="1:30" ht="20.45" customHeight="1">
      <c r="A87" s="7">
        <v>1500200094</v>
      </c>
      <c r="B87" s="229" t="s">
        <v>213</v>
      </c>
      <c r="C87" s="185">
        <v>21014532.75</v>
      </c>
      <c r="D87" s="185">
        <v>3849431</v>
      </c>
      <c r="E87" s="185">
        <v>239646</v>
      </c>
      <c r="F87" s="185">
        <v>126027633.69999996</v>
      </c>
      <c r="G87" s="185">
        <v>3421792.32</v>
      </c>
      <c r="H87" s="9"/>
      <c r="I87" s="9"/>
      <c r="J87" s="9"/>
      <c r="K87" s="424"/>
      <c r="L87" s="424"/>
      <c r="M87" s="424"/>
      <c r="N87" s="185">
        <f t="shared" si="4"/>
        <v>154553035.76999995</v>
      </c>
      <c r="O87" s="185">
        <v>1808855.791937985</v>
      </c>
      <c r="P87" s="185">
        <v>732066.61447028408</v>
      </c>
      <c r="Q87" s="185">
        <v>263764.6718346253</v>
      </c>
      <c r="R87" s="185">
        <v>3627113.7477449509</v>
      </c>
      <c r="S87" s="185">
        <v>21957.96868217054</v>
      </c>
      <c r="T87" s="185">
        <v>93023.255813953481</v>
      </c>
      <c r="U87" s="185">
        <v>31007.751937984496</v>
      </c>
      <c r="V87" s="185">
        <v>12780.999483204134</v>
      </c>
      <c r="W87" s="109">
        <f t="shared" si="5"/>
        <v>6590570.8019051589</v>
      </c>
      <c r="X87" s="109">
        <f t="shared" si="6"/>
        <v>161143606.57190511</v>
      </c>
    </row>
    <row r="88" spans="1:30" ht="20.45" customHeight="1">
      <c r="A88" s="7">
        <v>1500200095</v>
      </c>
      <c r="B88" s="229" t="s">
        <v>215</v>
      </c>
      <c r="C88" s="185">
        <v>20481536.119999994</v>
      </c>
      <c r="D88" s="185">
        <v>363700</v>
      </c>
      <c r="E88" s="185">
        <v>603479</v>
      </c>
      <c r="F88" s="185">
        <v>33525351.59</v>
      </c>
      <c r="G88" s="185">
        <v>568616.43999999994</v>
      </c>
      <c r="H88" s="9"/>
      <c r="I88" s="9"/>
      <c r="J88" s="9"/>
      <c r="K88" s="424"/>
      <c r="L88" s="424"/>
      <c r="M88" s="424"/>
      <c r="N88" s="185">
        <f t="shared" si="4"/>
        <v>55542683.149999991</v>
      </c>
      <c r="O88" s="185">
        <v>1997278.2702648584</v>
      </c>
      <c r="P88" s="185">
        <v>808323.55347760534</v>
      </c>
      <c r="Q88" s="185">
        <v>291240.15848406544</v>
      </c>
      <c r="R88" s="185">
        <v>4004938.0964683839</v>
      </c>
      <c r="S88" s="185">
        <v>24245.257086563306</v>
      </c>
      <c r="T88" s="185">
        <v>102713.17829457365</v>
      </c>
      <c r="U88" s="185">
        <v>34237.726098191211</v>
      </c>
      <c r="V88" s="185">
        <v>14112.353596037898</v>
      </c>
      <c r="W88" s="109">
        <f t="shared" si="5"/>
        <v>7277088.5937702795</v>
      </c>
      <c r="X88" s="109">
        <f t="shared" si="6"/>
        <v>62819771.743770272</v>
      </c>
    </row>
    <row r="89" spans="1:30" ht="20.45" customHeight="1">
      <c r="A89" s="7">
        <v>1500200096</v>
      </c>
      <c r="B89" s="229" t="s">
        <v>217</v>
      </c>
      <c r="C89" s="185">
        <v>21241281.850000001</v>
      </c>
      <c r="D89" s="185">
        <v>1096281</v>
      </c>
      <c r="E89" s="185">
        <v>185270</v>
      </c>
      <c r="F89" s="185">
        <v>22409579.690000001</v>
      </c>
      <c r="G89" s="185">
        <v>563776.51</v>
      </c>
      <c r="H89" s="9"/>
      <c r="I89" s="9"/>
      <c r="J89" s="9"/>
      <c r="K89" s="424"/>
      <c r="L89" s="424"/>
      <c r="M89" s="424"/>
      <c r="N89" s="185">
        <f t="shared" si="4"/>
        <v>45496189.050000004</v>
      </c>
      <c r="O89" s="185">
        <v>2034962.7659302331</v>
      </c>
      <c r="P89" s="185">
        <v>823574.94127906964</v>
      </c>
      <c r="Q89" s="185">
        <v>296735.25581395347</v>
      </c>
      <c r="R89" s="185">
        <v>4080502.9662130703</v>
      </c>
      <c r="S89" s="185">
        <v>24702.714767441859</v>
      </c>
      <c r="T89" s="185">
        <v>104651.16279069768</v>
      </c>
      <c r="U89" s="185">
        <v>34883.720930232557</v>
      </c>
      <c r="V89" s="185">
        <v>14378.62441860465</v>
      </c>
      <c r="W89" s="109">
        <f t="shared" si="5"/>
        <v>7414392.1521433033</v>
      </c>
      <c r="X89" s="109">
        <f t="shared" si="6"/>
        <v>52910581.202143312</v>
      </c>
    </row>
    <row r="90" spans="1:30" ht="20.45" customHeight="1">
      <c r="A90" s="7">
        <v>1500200173</v>
      </c>
      <c r="B90" s="229" t="s">
        <v>219</v>
      </c>
      <c r="C90" s="185">
        <v>13289236.24</v>
      </c>
      <c r="D90" s="185">
        <v>2680716</v>
      </c>
      <c r="E90" s="185">
        <v>363249</v>
      </c>
      <c r="F90" s="185">
        <v>23186250.59</v>
      </c>
      <c r="G90" s="185">
        <v>531066.73</v>
      </c>
      <c r="H90" s="9"/>
      <c r="I90" s="9"/>
      <c r="J90" s="9"/>
      <c r="K90" s="424"/>
      <c r="L90" s="424"/>
      <c r="M90" s="112">
        <v>55200</v>
      </c>
      <c r="N90" s="185">
        <f t="shared" si="4"/>
        <v>40105718.559999995</v>
      </c>
      <c r="O90" s="185">
        <v>1432010.8352842384</v>
      </c>
      <c r="P90" s="185">
        <v>579552.73645564157</v>
      </c>
      <c r="Q90" s="185">
        <v>208813.69853574506</v>
      </c>
      <c r="R90" s="185">
        <v>2871465.0502980868</v>
      </c>
      <c r="S90" s="185">
        <v>17383.391873385015</v>
      </c>
      <c r="T90" s="185">
        <v>73643.410852713176</v>
      </c>
      <c r="U90" s="185">
        <v>24547.803617571059</v>
      </c>
      <c r="V90" s="185">
        <v>10118.291257536606</v>
      </c>
      <c r="W90" s="109">
        <f t="shared" si="5"/>
        <v>5217535.2181749186</v>
      </c>
      <c r="X90" s="109">
        <f t="shared" si="6"/>
        <v>45323253.778174914</v>
      </c>
    </row>
    <row r="91" spans="1:30" s="167" customFormat="1" ht="20.45" customHeight="1">
      <c r="A91" s="770" t="s">
        <v>220</v>
      </c>
      <c r="B91" s="778"/>
      <c r="C91" s="202">
        <f>SUM(C7:C90)</f>
        <v>1623985382.8400002</v>
      </c>
      <c r="D91" s="202">
        <f t="shared" ref="D91:M91" si="7">SUM(D7:D90)</f>
        <v>200040256.75999999</v>
      </c>
      <c r="E91" s="202">
        <f t="shared" si="7"/>
        <v>67221460.230000004</v>
      </c>
      <c r="F91" s="202">
        <f t="shared" si="7"/>
        <v>10307489314.389999</v>
      </c>
      <c r="G91" s="202">
        <f t="shared" si="7"/>
        <v>1059430148.0699998</v>
      </c>
      <c r="H91" s="202">
        <f t="shared" si="7"/>
        <v>4491260.16</v>
      </c>
      <c r="I91" s="202">
        <f t="shared" si="7"/>
        <v>3000</v>
      </c>
      <c r="J91" s="202">
        <f t="shared" si="7"/>
        <v>14600</v>
      </c>
      <c r="K91" s="202">
        <f t="shared" si="7"/>
        <v>10138441.520000001</v>
      </c>
      <c r="L91" s="202">
        <f t="shared" si="7"/>
        <v>29312373.809999999</v>
      </c>
      <c r="M91" s="202">
        <f t="shared" si="7"/>
        <v>20350559.729999997</v>
      </c>
      <c r="N91" s="202">
        <f t="shared" si="4"/>
        <v>13322476797.509998</v>
      </c>
      <c r="O91" s="202">
        <f t="shared" ref="O91:V91" si="8">SUM(O7:O90)</f>
        <v>159819946.11685401</v>
      </c>
      <c r="P91" s="202">
        <f t="shared" si="8"/>
        <v>64681135.666009888</v>
      </c>
      <c r="Q91" s="202">
        <f t="shared" si="8"/>
        <v>23304707.776055131</v>
      </c>
      <c r="R91" s="202">
        <f t="shared" si="8"/>
        <v>358713073.73761821</v>
      </c>
      <c r="S91" s="202">
        <f t="shared" si="8"/>
        <v>1940078.0246059448</v>
      </c>
      <c r="T91" s="202">
        <f t="shared" si="8"/>
        <v>8218992.2480620155</v>
      </c>
      <c r="U91" s="202">
        <f t="shared" si="8"/>
        <v>2739664.0826873383</v>
      </c>
      <c r="V91" s="202">
        <f t="shared" si="8"/>
        <v>1129254.5585055982</v>
      </c>
      <c r="W91" s="428">
        <f t="shared" si="5"/>
        <v>620546852.21039832</v>
      </c>
      <c r="X91" s="428">
        <f t="shared" si="6"/>
        <v>13943023649.720396</v>
      </c>
      <c r="Y91" s="219"/>
      <c r="Z91" s="219"/>
      <c r="AA91" s="219"/>
      <c r="AB91" s="219"/>
      <c r="AC91" s="219"/>
      <c r="AD91" s="219"/>
    </row>
    <row r="92" spans="1:30" s="167" customFormat="1" ht="20.45" customHeight="1">
      <c r="A92" s="772" t="s">
        <v>221</v>
      </c>
      <c r="B92" s="773"/>
      <c r="C92" s="773"/>
      <c r="D92" s="773"/>
      <c r="E92" s="773"/>
      <c r="F92" s="773"/>
      <c r="G92" s="773"/>
      <c r="H92" s="773"/>
      <c r="I92" s="773"/>
      <c r="J92" s="773"/>
      <c r="K92" s="773"/>
      <c r="L92" s="773"/>
      <c r="M92" s="773"/>
      <c r="N92" s="773"/>
      <c r="O92" s="773"/>
      <c r="P92" s="773"/>
      <c r="Q92" s="773"/>
      <c r="R92" s="773"/>
      <c r="S92" s="773"/>
      <c r="T92" s="773"/>
      <c r="U92" s="773"/>
      <c r="V92" s="773"/>
      <c r="W92" s="773"/>
      <c r="X92" s="774"/>
      <c r="Y92" s="219"/>
      <c r="Z92" s="219"/>
      <c r="AA92" s="219"/>
      <c r="AB92" s="219"/>
      <c r="AC92" s="219"/>
      <c r="AD92" s="219"/>
    </row>
    <row r="93" spans="1:30" ht="20.45" customHeight="1">
      <c r="A93" s="7">
        <v>1500200006</v>
      </c>
      <c r="B93" s="229" t="s">
        <v>296</v>
      </c>
      <c r="C93" s="185">
        <v>15341306.770000001</v>
      </c>
      <c r="D93" s="185">
        <v>741721.88000000012</v>
      </c>
      <c r="E93" s="185">
        <v>219805.99</v>
      </c>
      <c r="F93" s="185">
        <v>3337599.3400000003</v>
      </c>
      <c r="G93" s="185">
        <v>105126.72</v>
      </c>
      <c r="H93" s="9"/>
      <c r="I93" s="9"/>
      <c r="J93" s="9"/>
      <c r="K93" s="424"/>
      <c r="L93" s="424"/>
      <c r="M93" s="424"/>
      <c r="N93" s="185">
        <v>19745560.700000003</v>
      </c>
      <c r="O93" s="185">
        <v>1205903.8612919899</v>
      </c>
      <c r="P93" s="185">
        <v>488044.40964685607</v>
      </c>
      <c r="Q93" s="185">
        <v>175843.11455641687</v>
      </c>
      <c r="R93" s="185">
        <v>5117972.233431749</v>
      </c>
      <c r="S93" s="185">
        <v>14638.645788113696</v>
      </c>
      <c r="T93" s="185">
        <v>62015.503875968992</v>
      </c>
      <c r="U93" s="185">
        <v>20671.834625322997</v>
      </c>
      <c r="V93" s="185">
        <v>8520.6663221360886</v>
      </c>
      <c r="W93" s="109">
        <f t="shared" ref="W93:W94" si="9">O93+P93+Q93+R93+S93+T93+U93</f>
        <v>7085089.6032164181</v>
      </c>
      <c r="X93" s="109">
        <f>W93+N93</f>
        <v>26830650.30321642</v>
      </c>
    </row>
    <row r="94" spans="1:30" ht="20.45" customHeight="1">
      <c r="A94" s="7">
        <v>1500200008</v>
      </c>
      <c r="B94" s="229" t="s">
        <v>224</v>
      </c>
      <c r="C94" s="185">
        <v>19467493.289999999</v>
      </c>
      <c r="D94" s="185">
        <v>4459180.26</v>
      </c>
      <c r="E94" s="185">
        <v>3386154.0700000003</v>
      </c>
      <c r="F94" s="185">
        <v>9524271.9199999999</v>
      </c>
      <c r="G94" s="185">
        <v>1230719.7700000003</v>
      </c>
      <c r="H94" s="9"/>
      <c r="I94" s="9"/>
      <c r="J94" s="9"/>
      <c r="K94" s="424"/>
      <c r="L94" s="424"/>
      <c r="M94" s="424"/>
      <c r="N94" s="185">
        <v>38067819.310000002</v>
      </c>
      <c r="O94" s="185">
        <v>2826337.1749031008</v>
      </c>
      <c r="P94" s="185">
        <v>1143854.085109819</v>
      </c>
      <c r="Q94" s="185">
        <v>412132.2997416021</v>
      </c>
      <c r="R94" s="185">
        <v>11924032.078355663</v>
      </c>
      <c r="S94" s="185">
        <v>34309.326065891473</v>
      </c>
      <c r="T94" s="185">
        <v>145348.83720930232</v>
      </c>
      <c r="U94" s="185">
        <v>48449.612403100778</v>
      </c>
      <c r="V94" s="185">
        <v>19970.311692506461</v>
      </c>
      <c r="W94" s="109">
        <f t="shared" si="9"/>
        <v>16534463.413788481</v>
      </c>
      <c r="X94" s="109">
        <f t="shared" ref="X94:X103" si="10">W94+N94</f>
        <v>54602282.723788485</v>
      </c>
      <c r="Y94" s="109"/>
    </row>
    <row r="95" spans="1:30" ht="20.45" customHeight="1">
      <c r="A95" s="7">
        <v>1500200010</v>
      </c>
      <c r="B95" s="229" t="s">
        <v>226</v>
      </c>
      <c r="C95" s="185">
        <v>21600281.919999998</v>
      </c>
      <c r="D95" s="9"/>
      <c r="E95" s="9">
        <v>19640</v>
      </c>
      <c r="F95" s="185">
        <v>3725521.55</v>
      </c>
      <c r="G95" s="185">
        <v>127230.34999999999</v>
      </c>
      <c r="H95" s="9"/>
      <c r="I95" s="9"/>
      <c r="J95" s="9"/>
      <c r="K95" s="424"/>
      <c r="L95" s="424"/>
      <c r="M95" s="424"/>
      <c r="N95" s="185">
        <v>25472673.82</v>
      </c>
      <c r="O95" s="185">
        <v>1545064.322280362</v>
      </c>
      <c r="P95" s="185">
        <v>625306.89986003435</v>
      </c>
      <c r="Q95" s="185">
        <v>225298.99052540914</v>
      </c>
      <c r="R95" s="185">
        <v>6456827.6428344278</v>
      </c>
      <c r="S95" s="185">
        <v>18755.764916020671</v>
      </c>
      <c r="T95" s="185">
        <v>79457.364341085267</v>
      </c>
      <c r="U95" s="185">
        <v>26485.788113695089</v>
      </c>
      <c r="V95" s="185">
        <v>10917.103725236864</v>
      </c>
      <c r="W95" s="109">
        <f t="shared" ref="W95:W103" si="11">O95+P95+Q95+R95+S95+T95+U95</f>
        <v>8977196.7728710342</v>
      </c>
      <c r="X95" s="109">
        <f t="shared" si="10"/>
        <v>34449870.592871033</v>
      </c>
    </row>
    <row r="96" spans="1:30" ht="20.45" customHeight="1">
      <c r="A96" s="7">
        <v>1500200011</v>
      </c>
      <c r="B96" s="229" t="s">
        <v>228</v>
      </c>
      <c r="C96" s="185">
        <v>26189979.02</v>
      </c>
      <c r="D96" s="185">
        <v>114882</v>
      </c>
      <c r="E96" s="185">
        <v>187725.24</v>
      </c>
      <c r="F96" s="185">
        <v>5844923.5800000001</v>
      </c>
      <c r="G96" s="185">
        <v>353352.98999999976</v>
      </c>
      <c r="H96" s="9"/>
      <c r="I96" s="9"/>
      <c r="J96" s="9"/>
      <c r="K96" s="424"/>
      <c r="L96" s="424"/>
      <c r="M96" s="424"/>
      <c r="N96" s="185">
        <v>32690862.829999994</v>
      </c>
      <c r="O96" s="185">
        <v>2713283.6879069768</v>
      </c>
      <c r="P96" s="185">
        <v>1098099.9217054262</v>
      </c>
      <c r="Q96" s="185">
        <v>395647.00775193801</v>
      </c>
      <c r="R96" s="185">
        <v>11775450.275221435</v>
      </c>
      <c r="S96" s="185">
        <v>32936.95302325581</v>
      </c>
      <c r="T96" s="185">
        <v>139534.88372093023</v>
      </c>
      <c r="U96" s="185">
        <v>46511.627906976741</v>
      </c>
      <c r="V96" s="185">
        <v>19171.499224806201</v>
      </c>
      <c r="W96" s="109">
        <f t="shared" si="11"/>
        <v>16201464.35723694</v>
      </c>
      <c r="X96" s="109">
        <f t="shared" si="10"/>
        <v>48892327.187236935</v>
      </c>
    </row>
    <row r="97" spans="1:30" ht="20.45" customHeight="1">
      <c r="A97" s="7">
        <v>1500200012</v>
      </c>
      <c r="B97" s="229" t="s">
        <v>230</v>
      </c>
      <c r="C97" s="185">
        <v>3852888.04</v>
      </c>
      <c r="D97" s="185">
        <v>4900</v>
      </c>
      <c r="E97" s="185">
        <v>198172.41</v>
      </c>
      <c r="F97" s="185">
        <v>433790</v>
      </c>
      <c r="G97" s="9"/>
      <c r="H97" s="9"/>
      <c r="I97" s="9"/>
      <c r="J97" s="9"/>
      <c r="K97" s="424"/>
      <c r="L97" s="424"/>
      <c r="M97" s="424"/>
      <c r="N97" s="185">
        <v>4489750.45</v>
      </c>
      <c r="O97" s="185">
        <v>414529.45231912151</v>
      </c>
      <c r="P97" s="185">
        <v>167765.26581610675</v>
      </c>
      <c r="Q97" s="185">
        <v>60446.070628768306</v>
      </c>
      <c r="R97" s="185">
        <v>1746927.6114921635</v>
      </c>
      <c r="S97" s="185">
        <v>5032.0344896640818</v>
      </c>
      <c r="T97" s="185">
        <v>21317.82945736434</v>
      </c>
      <c r="U97" s="185">
        <v>7105.9431524547799</v>
      </c>
      <c r="V97" s="185">
        <v>2928.9790482342805</v>
      </c>
      <c r="W97" s="109">
        <f t="shared" si="11"/>
        <v>2423124.2073556436</v>
      </c>
      <c r="X97" s="109">
        <f t="shared" si="10"/>
        <v>6912874.6573556438</v>
      </c>
    </row>
    <row r="98" spans="1:30" ht="20.45" customHeight="1">
      <c r="A98" s="7">
        <v>1500200013</v>
      </c>
      <c r="B98" s="229" t="s">
        <v>232</v>
      </c>
      <c r="C98" s="185">
        <v>0</v>
      </c>
      <c r="D98" s="7"/>
      <c r="E98" s="7"/>
      <c r="F98" s="7"/>
      <c r="G98" s="7"/>
      <c r="H98" s="7"/>
      <c r="I98" s="7"/>
      <c r="J98" s="114"/>
      <c r="K98" s="425"/>
      <c r="L98" s="425"/>
      <c r="M98" s="425"/>
      <c r="N98" s="185">
        <v>0</v>
      </c>
      <c r="O98" s="7"/>
      <c r="P98" s="7"/>
      <c r="Q98" s="7"/>
      <c r="R98" s="7"/>
      <c r="S98" s="7"/>
      <c r="T98" s="7"/>
      <c r="U98" s="7"/>
      <c r="V98" s="7"/>
      <c r="W98" s="109">
        <f t="shared" si="11"/>
        <v>0</v>
      </c>
      <c r="X98" s="109">
        <f t="shared" si="10"/>
        <v>0</v>
      </c>
    </row>
    <row r="99" spans="1:30" ht="20.45" customHeight="1">
      <c r="A99" s="7">
        <v>1500200014</v>
      </c>
      <c r="B99" s="229" t="s">
        <v>434</v>
      </c>
      <c r="C99" s="185">
        <v>3061740.96</v>
      </c>
      <c r="D99" s="185">
        <v>105000</v>
      </c>
      <c r="E99" s="185">
        <v>515576.35</v>
      </c>
      <c r="F99" s="185">
        <v>917799.15999999992</v>
      </c>
      <c r="G99" s="185">
        <v>2710.12</v>
      </c>
      <c r="H99" s="9"/>
      <c r="I99" s="9"/>
      <c r="J99" s="9"/>
      <c r="K99" s="424"/>
      <c r="L99" s="424"/>
      <c r="M99" s="424"/>
      <c r="N99" s="185">
        <v>4602826.59</v>
      </c>
      <c r="O99" s="185">
        <v>263791.4696576228</v>
      </c>
      <c r="P99" s="185">
        <v>106759.71461024976</v>
      </c>
      <c r="Q99" s="185">
        <v>38465.68130921619</v>
      </c>
      <c r="R99" s="185">
        <v>1125584.2073131951</v>
      </c>
      <c r="S99" s="185">
        <v>3202.2037661498707</v>
      </c>
      <c r="T99" s="185">
        <v>13565.891472868218</v>
      </c>
      <c r="U99" s="185">
        <v>4521.9638242894052</v>
      </c>
      <c r="V99" s="185">
        <v>1863.8957579672697</v>
      </c>
      <c r="W99" s="109">
        <f t="shared" si="11"/>
        <v>1555891.1319535915</v>
      </c>
      <c r="X99" s="109">
        <f t="shared" si="10"/>
        <v>6158717.7219535913</v>
      </c>
    </row>
    <row r="100" spans="1:30" ht="20.45" customHeight="1">
      <c r="A100" s="7">
        <v>1500200015</v>
      </c>
      <c r="B100" s="229" t="s">
        <v>298</v>
      </c>
      <c r="C100" s="185">
        <v>1683707.8199999998</v>
      </c>
      <c r="D100" s="185">
        <v>24100</v>
      </c>
      <c r="E100" s="185">
        <v>196970</v>
      </c>
      <c r="F100" s="185">
        <v>215822</v>
      </c>
      <c r="G100" s="185">
        <v>1099.9999999999998</v>
      </c>
      <c r="H100" s="9"/>
      <c r="I100" s="9"/>
      <c r="J100" s="9"/>
      <c r="K100" s="424"/>
      <c r="L100" s="424"/>
      <c r="M100" s="424"/>
      <c r="N100" s="185">
        <v>2121699.8199999998</v>
      </c>
      <c r="O100" s="185">
        <v>150737.98266149874</v>
      </c>
      <c r="P100" s="185">
        <v>61005.551205857009</v>
      </c>
      <c r="Q100" s="185">
        <v>21980.389319552109</v>
      </c>
      <c r="R100" s="185">
        <v>631799.40417896863</v>
      </c>
      <c r="S100" s="185">
        <v>1829.830723514212</v>
      </c>
      <c r="T100" s="185">
        <v>7751.937984496124</v>
      </c>
      <c r="U100" s="185">
        <v>2583.9793281653747</v>
      </c>
      <c r="V100" s="185">
        <v>1065.0832902670111</v>
      </c>
      <c r="W100" s="109">
        <f t="shared" si="11"/>
        <v>877689.07540205226</v>
      </c>
      <c r="X100" s="109">
        <f t="shared" si="10"/>
        <v>2999388.895402052</v>
      </c>
    </row>
    <row r="101" spans="1:30" ht="20.45" customHeight="1">
      <c r="A101" s="7">
        <v>1500200017</v>
      </c>
      <c r="B101" s="229" t="s">
        <v>236</v>
      </c>
      <c r="C101" s="185">
        <v>3071344.95</v>
      </c>
      <c r="D101" s="185">
        <v>938511</v>
      </c>
      <c r="E101" s="185">
        <v>134310</v>
      </c>
      <c r="F101" s="185">
        <v>767091.95</v>
      </c>
      <c r="G101" s="185">
        <v>18570.21</v>
      </c>
      <c r="H101" s="9"/>
      <c r="I101" s="9"/>
      <c r="J101" s="9"/>
      <c r="K101" s="424"/>
      <c r="L101" s="424"/>
      <c r="M101" s="424"/>
      <c r="N101" s="185">
        <v>4929828.1100000003</v>
      </c>
      <c r="O101" s="185">
        <v>339160.4609883721</v>
      </c>
      <c r="P101" s="185">
        <v>137262.49021317827</v>
      </c>
      <c r="Q101" s="185">
        <v>49455.875968992252</v>
      </c>
      <c r="R101" s="185">
        <v>1459708.4094026794</v>
      </c>
      <c r="S101" s="185">
        <v>4117.1191279069762</v>
      </c>
      <c r="T101" s="185">
        <v>17441.860465116279</v>
      </c>
      <c r="U101" s="185">
        <v>5813.9534883720926</v>
      </c>
      <c r="V101" s="185">
        <v>2396.4374031007751</v>
      </c>
      <c r="W101" s="109">
        <f t="shared" si="11"/>
        <v>2012960.1696546176</v>
      </c>
      <c r="X101" s="109">
        <f t="shared" si="10"/>
        <v>6942788.2796546184</v>
      </c>
    </row>
    <row r="102" spans="1:30" ht="20.45" customHeight="1">
      <c r="A102" s="7">
        <v>1500200020</v>
      </c>
      <c r="B102" s="229" t="s">
        <v>238</v>
      </c>
      <c r="C102" s="185">
        <v>21339473.100000106</v>
      </c>
      <c r="D102" s="185">
        <v>180660</v>
      </c>
      <c r="E102" s="185">
        <v>192219</v>
      </c>
      <c r="F102" s="185">
        <v>16418513.019999998</v>
      </c>
      <c r="G102" s="185">
        <v>21390198.390000004</v>
      </c>
      <c r="H102" s="9"/>
      <c r="I102" s="9"/>
      <c r="J102" s="9"/>
      <c r="K102" s="424">
        <v>0</v>
      </c>
      <c r="L102" s="424"/>
      <c r="M102" s="424"/>
      <c r="N102" s="185">
        <v>59521063.51000011</v>
      </c>
      <c r="O102" s="185">
        <v>4785930.9495025845</v>
      </c>
      <c r="P102" s="185">
        <v>1936926.2507859599</v>
      </c>
      <c r="Q102" s="185">
        <v>697877.36089577957</v>
      </c>
      <c r="R102" s="185">
        <v>6423376.854033011</v>
      </c>
      <c r="S102" s="185">
        <v>58097.125471576233</v>
      </c>
      <c r="T102" s="185">
        <v>246124.03100775194</v>
      </c>
      <c r="U102" s="185">
        <v>82041.343669250651</v>
      </c>
      <c r="V102" s="185">
        <v>33816.39446597761</v>
      </c>
      <c r="W102" s="109">
        <f t="shared" si="11"/>
        <v>14230373.915365916</v>
      </c>
      <c r="X102" s="109">
        <f t="shared" si="10"/>
        <v>73751437.425366029</v>
      </c>
    </row>
    <row r="103" spans="1:30" ht="20.45" customHeight="1">
      <c r="A103" s="7">
        <v>1500200021</v>
      </c>
      <c r="B103" s="229" t="s">
        <v>299</v>
      </c>
      <c r="C103" s="185">
        <v>7891830.2599999988</v>
      </c>
      <c r="D103" s="9"/>
      <c r="E103" s="185">
        <v>509949</v>
      </c>
      <c r="F103" s="185">
        <v>3813970.1100000003</v>
      </c>
      <c r="G103" s="185">
        <v>555553.1</v>
      </c>
      <c r="H103" s="9"/>
      <c r="I103" s="9"/>
      <c r="J103" s="9"/>
      <c r="K103" s="424"/>
      <c r="L103" s="424"/>
      <c r="M103" s="424"/>
      <c r="N103" s="185">
        <v>12771302.469999997</v>
      </c>
      <c r="O103" s="185">
        <v>942112.39163436706</v>
      </c>
      <c r="P103" s="185">
        <v>381284.69503660634</v>
      </c>
      <c r="Q103" s="185">
        <v>137377.43324720068</v>
      </c>
      <c r="R103" s="185">
        <v>3951950.0261185542</v>
      </c>
      <c r="S103" s="185">
        <v>11436.442021963823</v>
      </c>
      <c r="T103" s="185">
        <v>48449.612403100778</v>
      </c>
      <c r="U103" s="185">
        <v>16149.870801033592</v>
      </c>
      <c r="V103" s="185">
        <v>6656.7705641688199</v>
      </c>
      <c r="W103" s="109">
        <f t="shared" si="11"/>
        <v>5488760.4712628257</v>
      </c>
      <c r="X103" s="109">
        <f t="shared" si="10"/>
        <v>18260062.941262823</v>
      </c>
    </row>
    <row r="104" spans="1:30" s="167" customFormat="1" ht="20.45" customHeight="1">
      <c r="A104" s="770" t="s">
        <v>240</v>
      </c>
      <c r="B104" s="771"/>
      <c r="C104" s="202">
        <f>SUM(C93:C103)</f>
        <v>123500046.1300001</v>
      </c>
      <c r="D104" s="202">
        <f t="shared" ref="D104:M104" si="12">SUM(D93:D103)</f>
        <v>6568955.1399999997</v>
      </c>
      <c r="E104" s="202">
        <f t="shared" si="12"/>
        <v>5560522.0600000005</v>
      </c>
      <c r="F104" s="202">
        <f t="shared" si="12"/>
        <v>44999302.629999995</v>
      </c>
      <c r="G104" s="202">
        <f t="shared" si="12"/>
        <v>23784561.650000006</v>
      </c>
      <c r="H104" s="202">
        <f t="shared" si="12"/>
        <v>0</v>
      </c>
      <c r="I104" s="202"/>
      <c r="J104" s="202">
        <f t="shared" si="12"/>
        <v>0</v>
      </c>
      <c r="K104" s="426">
        <f t="shared" si="12"/>
        <v>0</v>
      </c>
      <c r="L104" s="426"/>
      <c r="M104" s="426">
        <f t="shared" si="12"/>
        <v>0</v>
      </c>
      <c r="N104" s="202">
        <f>SUM(N93:N103)</f>
        <v>204413387.6100001</v>
      </c>
      <c r="O104" s="202">
        <f t="shared" ref="O104:V104" si="13">SUM(O93:O103)</f>
        <v>15186851.753145996</v>
      </c>
      <c r="P104" s="202">
        <f t="shared" si="13"/>
        <v>6146309.2839900935</v>
      </c>
      <c r="Q104" s="202">
        <f t="shared" si="13"/>
        <v>2214524.2239448749</v>
      </c>
      <c r="R104" s="202">
        <f t="shared" si="13"/>
        <v>50613628.742381841</v>
      </c>
      <c r="S104" s="202">
        <f t="shared" si="13"/>
        <v>184355.44539405685</v>
      </c>
      <c r="T104" s="202">
        <f t="shared" si="13"/>
        <v>781007.75193798449</v>
      </c>
      <c r="U104" s="202">
        <f t="shared" si="13"/>
        <v>260335.91731266151</v>
      </c>
      <c r="V104" s="202">
        <f t="shared" si="13"/>
        <v>107307.14149440137</v>
      </c>
      <c r="W104" s="202">
        <f>SUM(W93:W103)</f>
        <v>75387013.118107513</v>
      </c>
      <c r="X104" s="202">
        <f>SUM(X93:X103)</f>
        <v>279800400.72810763</v>
      </c>
      <c r="Y104" s="219"/>
      <c r="Z104" s="219"/>
      <c r="AA104" s="219"/>
      <c r="AB104" s="219"/>
      <c r="AC104" s="219"/>
      <c r="AD104" s="219"/>
    </row>
    <row r="105" spans="1:30" s="186" customFormat="1" ht="20.45" customHeight="1">
      <c r="A105" s="768" t="s">
        <v>241</v>
      </c>
      <c r="B105" s="769"/>
      <c r="C105" s="203">
        <f t="shared" ref="C105:M105" si="14">C91+C104</f>
        <v>1747485428.9700003</v>
      </c>
      <c r="D105" s="203">
        <f t="shared" si="14"/>
        <v>206609211.89999998</v>
      </c>
      <c r="E105" s="203">
        <f t="shared" si="14"/>
        <v>72781982.290000007</v>
      </c>
      <c r="F105" s="203">
        <f t="shared" si="14"/>
        <v>10352488617.019999</v>
      </c>
      <c r="G105" s="203">
        <f t="shared" si="14"/>
        <v>1083214709.7199998</v>
      </c>
      <c r="H105" s="203">
        <f t="shared" si="14"/>
        <v>4491260.16</v>
      </c>
      <c r="I105" s="203">
        <f t="shared" si="14"/>
        <v>3000</v>
      </c>
      <c r="J105" s="203">
        <f t="shared" si="14"/>
        <v>14600</v>
      </c>
      <c r="K105" s="203">
        <f t="shared" si="14"/>
        <v>10138441.520000001</v>
      </c>
      <c r="L105" s="203">
        <f t="shared" si="14"/>
        <v>29312373.809999999</v>
      </c>
      <c r="M105" s="203">
        <f t="shared" si="14"/>
        <v>20350559.729999997</v>
      </c>
      <c r="N105" s="203">
        <f>SUM(C105:M105)</f>
        <v>13526890185.119997</v>
      </c>
      <c r="O105" s="203">
        <f>O91+O104</f>
        <v>175006797.87</v>
      </c>
      <c r="P105" s="203">
        <f t="shared" ref="P105" si="15">P91+P104</f>
        <v>70827444.949999988</v>
      </c>
      <c r="Q105" s="203">
        <f t="shared" ref="Q105:R105" si="16">Q91+Q104</f>
        <v>25519232.000000007</v>
      </c>
      <c r="R105" s="203">
        <f t="shared" si="16"/>
        <v>409326702.48000002</v>
      </c>
      <c r="S105" s="203">
        <f t="shared" ref="S105:V105" si="17">S91+S104</f>
        <v>2124433.4700000016</v>
      </c>
      <c r="T105" s="203">
        <f t="shared" si="17"/>
        <v>9000000</v>
      </c>
      <c r="U105" s="203">
        <f t="shared" si="17"/>
        <v>3000000</v>
      </c>
      <c r="V105" s="203">
        <f t="shared" si="17"/>
        <v>1236561.6999999995</v>
      </c>
      <c r="W105" s="203">
        <f>SUM(O105:V105)</f>
        <v>696041172.47000003</v>
      </c>
      <c r="X105" s="203">
        <f>W105+N105</f>
        <v>14222931357.589996</v>
      </c>
      <c r="Y105" s="219"/>
      <c r="Z105" s="219"/>
      <c r="AA105" s="219"/>
      <c r="AB105" s="219"/>
      <c r="AC105" s="219"/>
      <c r="AD105" s="219"/>
    </row>
    <row r="106" spans="1:30" ht="20.25" customHeight="1">
      <c r="C106" s="149"/>
      <c r="D106" s="149"/>
      <c r="E106" s="149"/>
      <c r="F106" s="149"/>
      <c r="G106" s="149"/>
      <c r="H106" s="149"/>
      <c r="I106" s="149"/>
      <c r="J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>
        <v>0</v>
      </c>
    </row>
    <row r="107" spans="1:30" ht="20.45" customHeight="1">
      <c r="C107" s="149"/>
      <c r="D107" s="149"/>
      <c r="E107" s="149"/>
      <c r="F107" s="149"/>
      <c r="G107" s="149"/>
      <c r="H107" s="149"/>
      <c r="I107" s="149"/>
      <c r="J107" s="149"/>
      <c r="N107" s="149"/>
      <c r="O107" s="563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30" ht="28.5">
      <c r="B108" s="227"/>
      <c r="C108" s="149"/>
      <c r="D108" s="149"/>
      <c r="E108" s="149"/>
      <c r="F108" s="149"/>
      <c r="G108" s="149"/>
      <c r="H108" s="149"/>
      <c r="I108" s="149"/>
      <c r="J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427"/>
    </row>
    <row r="109" spans="1:30" ht="30.75">
      <c r="B109" s="231"/>
      <c r="C109" s="232"/>
      <c r="D109" s="232"/>
      <c r="E109" s="232"/>
      <c r="F109" s="232"/>
      <c r="G109" s="231"/>
      <c r="H109" s="231"/>
      <c r="I109" s="231"/>
    </row>
    <row r="110" spans="1:30" ht="28.5">
      <c r="B110" s="227"/>
      <c r="E110" s="175"/>
      <c r="G110" s="149"/>
    </row>
    <row r="111" spans="1:30" ht="20.45" customHeight="1">
      <c r="E111" s="175"/>
      <c r="G111" s="149"/>
    </row>
    <row r="112" spans="1:30" ht="20.45" customHeight="1">
      <c r="E112" s="175"/>
      <c r="G112" s="149"/>
    </row>
    <row r="113" spans="7:7" ht="20.45" customHeight="1">
      <c r="G113" s="149"/>
    </row>
    <row r="114" spans="7:7" ht="20.45" customHeight="1">
      <c r="G114" s="149"/>
    </row>
    <row r="115" spans="7:7" ht="20.45" customHeight="1">
      <c r="G115" s="149"/>
    </row>
  </sheetData>
  <mergeCells count="12">
    <mergeCell ref="A4:A5"/>
    <mergeCell ref="B4:B5"/>
    <mergeCell ref="A1:X1"/>
    <mergeCell ref="A2:X2"/>
    <mergeCell ref="X4:X5"/>
    <mergeCell ref="O4:W4"/>
    <mergeCell ref="C4:N4"/>
    <mergeCell ref="A105:B105"/>
    <mergeCell ref="A104:B104"/>
    <mergeCell ref="A92:X92"/>
    <mergeCell ref="A6:X6"/>
    <mergeCell ref="A91:B91"/>
  </mergeCells>
  <pageMargins left="0.23622047244094491" right="0.15748031496062992" top="0.31496062992125984" bottom="0.23622047244094491" header="0.15748031496062992" footer="0.15748031496062992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58"/>
  <sheetViews>
    <sheetView view="pageBreakPreview" zoomScale="90" zoomScaleNormal="70" zoomScaleSheetLayoutView="90" workbookViewId="0">
      <pane xSplit="2" ySplit="4" topLeftCell="D44" activePane="bottomRight" state="frozen"/>
      <selection activeCell="K32" sqref="K32"/>
      <selection pane="topRight" activeCell="K32" sqref="K32"/>
      <selection pane="bottomLeft" activeCell="K32" sqref="K32"/>
      <selection pane="bottomRight" activeCell="Q10" sqref="Q10"/>
    </sheetView>
  </sheetViews>
  <sheetFormatPr defaultColWidth="8.85546875" defaultRowHeight="21" customHeight="1"/>
  <cols>
    <col min="1" max="1" width="4.85546875" style="16" customWidth="1"/>
    <col min="2" max="2" width="49.28515625" style="8" customWidth="1"/>
    <col min="3" max="3" width="16.7109375" style="65" customWidth="1"/>
    <col min="4" max="5" width="16.7109375" style="15" customWidth="1"/>
    <col min="6" max="6" width="16" style="15" customWidth="1"/>
    <col min="7" max="7" width="16.7109375" style="187" customWidth="1"/>
    <col min="8" max="8" width="11.7109375" style="339" customWidth="1"/>
    <col min="9" max="9" width="13.140625" style="286" customWidth="1"/>
    <col min="10" max="10" width="16.42578125" style="342" customWidth="1"/>
    <col min="11" max="12" width="14.5703125" style="78" hidden="1" customWidth="1"/>
    <col min="13" max="14" width="4.85546875" style="78" hidden="1" customWidth="1"/>
    <col min="15" max="16" width="0" style="8" hidden="1" customWidth="1"/>
    <col min="17" max="20" width="8.85546875" style="111"/>
    <col min="21" max="16384" width="8.85546875" style="8"/>
  </cols>
  <sheetData>
    <row r="1" spans="1:20" ht="21" customHeight="1">
      <c r="A1" s="789" t="s">
        <v>242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20" ht="21" customHeight="1">
      <c r="A2" s="789" t="s">
        <v>493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1:20" ht="8.25" customHeight="1">
      <c r="A3" s="13"/>
    </row>
    <row r="4" spans="1:20" s="245" customFormat="1" ht="21" customHeight="1">
      <c r="A4" s="326" t="s">
        <v>10</v>
      </c>
      <c r="B4" s="327" t="s">
        <v>243</v>
      </c>
      <c r="C4" s="328" t="s">
        <v>11</v>
      </c>
      <c r="D4" s="329" t="s">
        <v>12</v>
      </c>
      <c r="E4" s="329" t="s">
        <v>0</v>
      </c>
      <c r="F4" s="329" t="s">
        <v>244</v>
      </c>
      <c r="G4" s="330" t="s">
        <v>245</v>
      </c>
      <c r="H4" s="340" t="s">
        <v>246</v>
      </c>
      <c r="I4" s="331" t="s">
        <v>247</v>
      </c>
      <c r="J4" s="343" t="s">
        <v>248</v>
      </c>
      <c r="K4" s="223"/>
      <c r="L4" s="223"/>
      <c r="M4" s="223"/>
      <c r="N4" s="223"/>
      <c r="Q4" s="325"/>
      <c r="R4" s="325"/>
      <c r="S4" s="325"/>
      <c r="T4" s="325"/>
    </row>
    <row r="5" spans="1:20" s="86" customFormat="1" ht="18.75">
      <c r="A5" s="790" t="s">
        <v>249</v>
      </c>
      <c r="B5" s="791"/>
      <c r="C5" s="791"/>
      <c r="D5" s="791"/>
      <c r="E5" s="791"/>
      <c r="F5" s="791"/>
      <c r="G5" s="791"/>
      <c r="H5" s="791"/>
      <c r="I5" s="791"/>
      <c r="J5" s="792"/>
      <c r="K5" s="224"/>
      <c r="L5" s="224"/>
      <c r="M5" s="224"/>
      <c r="N5" s="224"/>
      <c r="Q5" s="111"/>
      <c r="R5" s="111"/>
      <c r="S5" s="111"/>
      <c r="T5" s="111"/>
    </row>
    <row r="6" spans="1:20" s="294" customFormat="1" ht="20.100000000000001" customHeight="1">
      <c r="A6" s="287" t="s">
        <v>364</v>
      </c>
      <c r="B6" s="288" t="s">
        <v>408</v>
      </c>
      <c r="C6" s="289">
        <v>317528332.8478629</v>
      </c>
      <c r="D6" s="289">
        <v>7390819.5321648382</v>
      </c>
      <c r="E6" s="289">
        <v>42881478.653239302</v>
      </c>
      <c r="F6" s="289">
        <v>56862585.63624125</v>
      </c>
      <c r="G6" s="290">
        <f>SUM(C6:F6)</f>
        <v>424663216.66950828</v>
      </c>
      <c r="H6" s="452">
        <v>76</v>
      </c>
      <c r="I6" s="453" t="s">
        <v>252</v>
      </c>
      <c r="J6" s="432">
        <f>G6/H6</f>
        <v>5587673.9035461619</v>
      </c>
      <c r="K6" s="291"/>
      <c r="L6" s="292"/>
      <c r="M6" s="292"/>
      <c r="N6" s="292"/>
      <c r="O6" s="293"/>
      <c r="P6" s="293"/>
      <c r="Q6" s="293"/>
      <c r="R6" s="293"/>
      <c r="S6" s="293"/>
      <c r="T6" s="293"/>
    </row>
    <row r="7" spans="1:20" s="294" customFormat="1" ht="20.100000000000001" customHeight="1">
      <c r="A7" s="287" t="s">
        <v>365</v>
      </c>
      <c r="B7" s="288" t="s">
        <v>520</v>
      </c>
      <c r="C7" s="289">
        <v>315850864.15838003</v>
      </c>
      <c r="D7" s="289">
        <v>7213386.1185243614</v>
      </c>
      <c r="E7" s="289">
        <v>42710022.744681232</v>
      </c>
      <c r="F7" s="289">
        <v>56835448.578033946</v>
      </c>
      <c r="G7" s="290">
        <f t="shared" ref="G7:G23" si="0">SUM(C7:F7)</f>
        <v>422609721.59961957</v>
      </c>
      <c r="H7" s="430">
        <v>76</v>
      </c>
      <c r="I7" s="431" t="s">
        <v>252</v>
      </c>
      <c r="J7" s="432">
        <f t="shared" ref="J7:J23" si="1">G7/H7</f>
        <v>5560654.2315739421</v>
      </c>
      <c r="K7" s="291"/>
      <c r="L7" s="292"/>
      <c r="M7" s="292"/>
      <c r="N7" s="292"/>
      <c r="O7" s="293"/>
      <c r="P7" s="293"/>
      <c r="Q7" s="293"/>
      <c r="R7" s="293"/>
      <c r="S7" s="293"/>
      <c r="T7" s="293"/>
    </row>
    <row r="8" spans="1:20" s="294" customFormat="1" ht="20.100000000000001" customHeight="1">
      <c r="A8" s="287" t="s">
        <v>366</v>
      </c>
      <c r="B8" s="288" t="s">
        <v>521</v>
      </c>
      <c r="C8" s="289">
        <v>321053047.72258049</v>
      </c>
      <c r="D8" s="289">
        <v>7684602.7252416927</v>
      </c>
      <c r="E8" s="289">
        <v>43165364.665769853</v>
      </c>
      <c r="F8" s="289">
        <v>56907517.486715637</v>
      </c>
      <c r="G8" s="290">
        <f t="shared" si="0"/>
        <v>428810532.6003077</v>
      </c>
      <c r="H8" s="430">
        <v>30</v>
      </c>
      <c r="I8" s="431" t="s">
        <v>252</v>
      </c>
      <c r="J8" s="432">
        <f t="shared" si="1"/>
        <v>14293684.420010258</v>
      </c>
      <c r="K8" s="291"/>
      <c r="L8" s="292"/>
      <c r="M8" s="292"/>
      <c r="N8" s="292"/>
      <c r="O8" s="293"/>
      <c r="P8" s="293"/>
      <c r="Q8" s="293"/>
      <c r="R8" s="293"/>
      <c r="S8" s="293"/>
      <c r="T8" s="293"/>
    </row>
    <row r="9" spans="1:20" s="294" customFormat="1" ht="20.100000000000001" customHeight="1">
      <c r="A9" s="287" t="s">
        <v>367</v>
      </c>
      <c r="B9" s="288" t="s">
        <v>522</v>
      </c>
      <c r="C9" s="289">
        <v>309196231.03224641</v>
      </c>
      <c r="D9" s="289">
        <v>6899241.7140461411</v>
      </c>
      <c r="E9" s="289">
        <v>42406461.463955499</v>
      </c>
      <c r="F9" s="289">
        <v>56787402.638912819</v>
      </c>
      <c r="G9" s="290">
        <f t="shared" si="0"/>
        <v>415289336.84916085</v>
      </c>
      <c r="H9" s="430">
        <v>76</v>
      </c>
      <c r="I9" s="431" t="s">
        <v>252</v>
      </c>
      <c r="J9" s="432">
        <f t="shared" si="1"/>
        <v>5464333.3795942217</v>
      </c>
      <c r="K9" s="291"/>
      <c r="L9" s="292"/>
      <c r="M9" s="292"/>
      <c r="N9" s="292"/>
      <c r="O9" s="293"/>
      <c r="P9" s="293"/>
      <c r="Q9" s="293"/>
      <c r="R9" s="293"/>
      <c r="S9" s="293"/>
      <c r="T9" s="293"/>
    </row>
    <row r="10" spans="1:20" s="294" customFormat="1" ht="20.100000000000001" customHeight="1">
      <c r="A10" s="287" t="s">
        <v>368</v>
      </c>
      <c r="B10" s="288" t="s">
        <v>411</v>
      </c>
      <c r="C10" s="289"/>
      <c r="D10" s="289">
        <v>0</v>
      </c>
      <c r="E10" s="289">
        <v>0</v>
      </c>
      <c r="F10" s="289">
        <v>0</v>
      </c>
      <c r="G10" s="290">
        <f t="shared" si="0"/>
        <v>0</v>
      </c>
      <c r="H10" s="430"/>
      <c r="I10" s="431"/>
      <c r="J10" s="432"/>
      <c r="K10" s="291"/>
      <c r="L10" s="292"/>
      <c r="M10" s="292"/>
      <c r="N10" s="292"/>
      <c r="O10" s="293"/>
      <c r="P10" s="293"/>
      <c r="Q10" s="293"/>
      <c r="R10" s="293"/>
      <c r="S10" s="293"/>
      <c r="T10" s="293"/>
    </row>
    <row r="11" spans="1:20" s="294" customFormat="1" ht="20.100000000000001" customHeight="1">
      <c r="A11" s="287" t="s">
        <v>369</v>
      </c>
      <c r="B11" s="288" t="s">
        <v>523</v>
      </c>
      <c r="C11" s="289">
        <v>12085811.085382549</v>
      </c>
      <c r="D11" s="289">
        <v>773366.65843441512</v>
      </c>
      <c r="E11" s="289">
        <v>637789.00819638267</v>
      </c>
      <c r="F11" s="289">
        <v>51234.213472868214</v>
      </c>
      <c r="G11" s="290">
        <f t="shared" si="0"/>
        <v>13548200.965486214</v>
      </c>
      <c r="H11" s="430">
        <v>38</v>
      </c>
      <c r="I11" s="431" t="s">
        <v>253</v>
      </c>
      <c r="J11" s="432">
        <f t="shared" si="1"/>
        <v>356531.60435490037</v>
      </c>
      <c r="K11" s="291"/>
      <c r="L11" s="292"/>
      <c r="M11" s="292"/>
      <c r="N11" s="292"/>
      <c r="O11" s="293"/>
      <c r="P11" s="293"/>
      <c r="Q11" s="293"/>
      <c r="R11" s="293"/>
      <c r="S11" s="293"/>
      <c r="T11" s="293"/>
    </row>
    <row r="12" spans="1:20" s="294" customFormat="1" ht="20.100000000000001" customHeight="1">
      <c r="A12" s="287" t="s">
        <v>370</v>
      </c>
      <c r="B12" s="288" t="s">
        <v>413</v>
      </c>
      <c r="C12" s="289">
        <f>16923542.5538434+13720</f>
        <v>16937262.553843401</v>
      </c>
      <c r="D12" s="289">
        <v>1031155.5445792201</v>
      </c>
      <c r="E12" s="289">
        <v>850385.34426184359</v>
      </c>
      <c r="F12" s="289">
        <v>68312.284630490947</v>
      </c>
      <c r="G12" s="290">
        <f t="shared" si="0"/>
        <v>18887115.727314956</v>
      </c>
      <c r="H12" s="430">
        <v>14</v>
      </c>
      <c r="I12" s="431" t="s">
        <v>253</v>
      </c>
      <c r="J12" s="432">
        <f t="shared" si="1"/>
        <v>1349079.6948082112</v>
      </c>
      <c r="K12" s="291"/>
      <c r="L12" s="292"/>
      <c r="M12" s="292"/>
      <c r="N12" s="292"/>
      <c r="O12" s="293"/>
      <c r="P12" s="293"/>
      <c r="Q12" s="293"/>
      <c r="R12" s="293"/>
      <c r="S12" s="293"/>
      <c r="T12" s="293"/>
    </row>
    <row r="13" spans="1:20" s="187" customFormat="1" ht="18.75">
      <c r="A13" s="246" t="s">
        <v>371</v>
      </c>
      <c r="B13" s="247" t="s">
        <v>524</v>
      </c>
      <c r="C13" s="250">
        <v>12694563.085382549</v>
      </c>
      <c r="D13" s="250">
        <v>773366.65843441512</v>
      </c>
      <c r="E13" s="250">
        <v>637789.00819638267</v>
      </c>
      <c r="F13" s="250">
        <v>51234.213472868214</v>
      </c>
      <c r="G13" s="290">
        <f t="shared" si="0"/>
        <v>14156952.965486214</v>
      </c>
      <c r="H13" s="433">
        <v>15870</v>
      </c>
      <c r="I13" s="434" t="s">
        <v>254</v>
      </c>
      <c r="J13" s="432">
        <f t="shared" si="1"/>
        <v>892.05752775590508</v>
      </c>
      <c r="K13" s="252"/>
      <c r="L13" s="253"/>
      <c r="M13" s="253"/>
      <c r="N13" s="253"/>
      <c r="O13" s="235"/>
      <c r="P13" s="235"/>
      <c r="Q13" s="235"/>
      <c r="R13" s="235"/>
      <c r="S13" s="235"/>
      <c r="T13" s="235"/>
    </row>
    <row r="14" spans="1:20" s="294" customFormat="1" ht="20.100000000000001" customHeight="1">
      <c r="A14" s="287" t="s">
        <v>372</v>
      </c>
      <c r="B14" s="288" t="s">
        <v>335</v>
      </c>
      <c r="C14" s="289">
        <v>3736580.6795352204</v>
      </c>
      <c r="D14" s="289">
        <v>250443.07304619343</v>
      </c>
      <c r="E14" s="289">
        <v>242695.47533161071</v>
      </c>
      <c r="F14" s="289">
        <v>5575.9042437467688</v>
      </c>
      <c r="G14" s="290">
        <f t="shared" si="0"/>
        <v>4235295.1321567716</v>
      </c>
      <c r="H14" s="430">
        <v>730</v>
      </c>
      <c r="I14" s="431" t="s">
        <v>459</v>
      </c>
      <c r="J14" s="432">
        <f t="shared" si="1"/>
        <v>5801.7741536394133</v>
      </c>
      <c r="K14" s="291"/>
      <c r="L14" s="292"/>
      <c r="M14" s="292"/>
      <c r="N14" s="292"/>
      <c r="O14" s="293"/>
      <c r="P14" s="293"/>
      <c r="Q14" s="293"/>
      <c r="R14" s="293"/>
      <c r="S14" s="293"/>
      <c r="T14" s="293"/>
    </row>
    <row r="15" spans="1:20" s="294" customFormat="1" ht="20.100000000000001" customHeight="1">
      <c r="A15" s="287" t="s">
        <v>373</v>
      </c>
      <c r="B15" s="288" t="s">
        <v>525</v>
      </c>
      <c r="C15" s="289">
        <v>3721223.6280443165</v>
      </c>
      <c r="D15" s="289">
        <v>266345.48897988599</v>
      </c>
      <c r="E15" s="289">
        <v>258105.9410594315</v>
      </c>
      <c r="F15" s="289">
        <v>5929.9581507364337</v>
      </c>
      <c r="G15" s="290">
        <f t="shared" si="0"/>
        <v>4251605.0162343699</v>
      </c>
      <c r="H15" s="430">
        <v>6975</v>
      </c>
      <c r="I15" s="431" t="s">
        <v>254</v>
      </c>
      <c r="J15" s="432">
        <f t="shared" si="1"/>
        <v>609.54910627016056</v>
      </c>
      <c r="K15" s="291"/>
      <c r="L15" s="292"/>
      <c r="M15" s="292"/>
      <c r="N15" s="292"/>
      <c r="O15" s="293"/>
      <c r="P15" s="293"/>
      <c r="Q15" s="293"/>
      <c r="R15" s="293"/>
      <c r="S15" s="293"/>
      <c r="T15" s="293"/>
    </row>
    <row r="16" spans="1:20" s="294" customFormat="1" ht="38.25" customHeight="1">
      <c r="A16" s="246" t="s">
        <v>374</v>
      </c>
      <c r="B16" s="749" t="s">
        <v>414</v>
      </c>
      <c r="C16" s="289">
        <v>3916111.2144856201</v>
      </c>
      <c r="D16" s="289">
        <v>282327.81655143632</v>
      </c>
      <c r="E16" s="289">
        <v>273593.84631352284</v>
      </c>
      <c r="F16" s="289">
        <v>6285.7912230878546</v>
      </c>
      <c r="G16" s="290">
        <f t="shared" si="0"/>
        <v>4478318.6685736682</v>
      </c>
      <c r="H16" s="430">
        <v>35</v>
      </c>
      <c r="I16" s="431" t="s">
        <v>459</v>
      </c>
      <c r="J16" s="432">
        <f t="shared" si="1"/>
        <v>127951.96195924767</v>
      </c>
      <c r="K16" s="291"/>
      <c r="L16" s="292"/>
      <c r="M16" s="292"/>
      <c r="N16" s="292"/>
      <c r="O16" s="293"/>
      <c r="P16" s="293"/>
      <c r="Q16" s="293"/>
      <c r="R16" s="293"/>
      <c r="S16" s="293"/>
      <c r="T16" s="293"/>
    </row>
    <row r="17" spans="1:20" s="294" customFormat="1" ht="18.75">
      <c r="A17" s="287" t="s">
        <v>385</v>
      </c>
      <c r="B17" s="295" t="s">
        <v>474</v>
      </c>
      <c r="C17" s="289">
        <v>32180289.454895031</v>
      </c>
      <c r="D17" s="289">
        <v>1407087.629043658</v>
      </c>
      <c r="E17" s="289">
        <v>1045675.4003294575</v>
      </c>
      <c r="F17" s="289">
        <v>420282.70447093027</v>
      </c>
      <c r="G17" s="290">
        <f t="shared" si="0"/>
        <v>35053335.188739076</v>
      </c>
      <c r="H17" s="430">
        <v>237</v>
      </c>
      <c r="I17" s="431" t="s">
        <v>435</v>
      </c>
      <c r="J17" s="432">
        <f t="shared" si="1"/>
        <v>147904.36788497501</v>
      </c>
      <c r="K17" s="291"/>
      <c r="L17" s="292"/>
      <c r="M17" s="292"/>
      <c r="N17" s="292"/>
      <c r="O17" s="293"/>
      <c r="P17" s="293"/>
      <c r="Q17" s="293"/>
      <c r="R17" s="293"/>
      <c r="S17" s="293"/>
      <c r="T17" s="293"/>
    </row>
    <row r="18" spans="1:20" s="294" customFormat="1" ht="20.100000000000001" customHeight="1">
      <c r="A18" s="287" t="s">
        <v>386</v>
      </c>
      <c r="B18" s="288" t="s">
        <v>353</v>
      </c>
      <c r="C18" s="289">
        <v>3894184.6060994477</v>
      </c>
      <c r="D18" s="289">
        <v>156343.06989373977</v>
      </c>
      <c r="E18" s="289">
        <v>116186.15559216196</v>
      </c>
      <c r="F18" s="289">
        <v>46698.078274547814</v>
      </c>
      <c r="G18" s="290">
        <f t="shared" si="0"/>
        <v>4213411.9098598976</v>
      </c>
      <c r="H18" s="430">
        <v>221</v>
      </c>
      <c r="I18" s="431" t="s">
        <v>253</v>
      </c>
      <c r="J18" s="432">
        <f t="shared" si="1"/>
        <v>19065.212261809491</v>
      </c>
      <c r="K18" s="291"/>
      <c r="L18" s="292"/>
      <c r="M18" s="292"/>
      <c r="N18" s="292"/>
      <c r="O18" s="293"/>
      <c r="P18" s="293"/>
      <c r="Q18" s="293"/>
      <c r="R18" s="293"/>
      <c r="S18" s="293"/>
      <c r="T18" s="293"/>
    </row>
    <row r="19" spans="1:20" s="294" customFormat="1" ht="57" customHeight="1">
      <c r="A19" s="246" t="s">
        <v>387</v>
      </c>
      <c r="B19" s="295" t="s">
        <v>526</v>
      </c>
      <c r="C19" s="289">
        <v>45965176.442171447</v>
      </c>
      <c r="D19" s="289">
        <v>1058599.3728648534</v>
      </c>
      <c r="E19" s="289">
        <v>1009224.1572035605</v>
      </c>
      <c r="F19" s="289">
        <v>89595.470137812212</v>
      </c>
      <c r="G19" s="290">
        <f t="shared" si="0"/>
        <v>48122595.442377672</v>
      </c>
      <c r="H19" s="430">
        <v>7</v>
      </c>
      <c r="I19" s="431" t="s">
        <v>435</v>
      </c>
      <c r="J19" s="432">
        <f t="shared" si="1"/>
        <v>6874656.4917682391</v>
      </c>
      <c r="K19" s="291"/>
      <c r="L19" s="292"/>
      <c r="M19" s="292"/>
      <c r="N19" s="292"/>
      <c r="O19" s="293"/>
      <c r="P19" s="293"/>
      <c r="Q19" s="293"/>
      <c r="R19" s="293"/>
      <c r="S19" s="293"/>
      <c r="T19" s="293"/>
    </row>
    <row r="20" spans="1:20" s="294" customFormat="1" ht="37.5">
      <c r="A20" s="246" t="s">
        <v>388</v>
      </c>
      <c r="B20" s="295" t="s">
        <v>424</v>
      </c>
      <c r="C20" s="289">
        <v>330615912.58812624</v>
      </c>
      <c r="D20" s="289">
        <v>7293738.9232566105</v>
      </c>
      <c r="E20" s="289">
        <v>44121049.128294669</v>
      </c>
      <c r="F20" s="289">
        <v>58901541.536795631</v>
      </c>
      <c r="G20" s="290">
        <f t="shared" si="0"/>
        <v>440932242.17647314</v>
      </c>
      <c r="H20" s="430">
        <v>8905</v>
      </c>
      <c r="I20" s="431" t="s">
        <v>435</v>
      </c>
      <c r="J20" s="432">
        <f t="shared" si="1"/>
        <v>49515.131069789233</v>
      </c>
      <c r="K20" s="291"/>
      <c r="L20" s="292"/>
      <c r="M20" s="292"/>
      <c r="N20" s="292"/>
      <c r="O20" s="293"/>
      <c r="P20" s="293"/>
      <c r="Q20" s="293"/>
      <c r="R20" s="293"/>
      <c r="S20" s="293"/>
      <c r="T20" s="293"/>
    </row>
    <row r="21" spans="1:20" s="294" customFormat="1" ht="20.100000000000001" customHeight="1">
      <c r="A21" s="287" t="s">
        <v>389</v>
      </c>
      <c r="B21" s="288" t="s">
        <v>346</v>
      </c>
      <c r="C21" s="289">
        <v>365791334.34366918</v>
      </c>
      <c r="D21" s="289">
        <v>7558388.7664728248</v>
      </c>
      <c r="E21" s="289">
        <v>44373355.167595558</v>
      </c>
      <c r="F21" s="289">
        <v>58923940.40433009</v>
      </c>
      <c r="G21" s="290">
        <f t="shared" si="0"/>
        <v>476647018.68206763</v>
      </c>
      <c r="H21" s="430">
        <v>725</v>
      </c>
      <c r="I21" s="431" t="s">
        <v>436</v>
      </c>
      <c r="J21" s="432">
        <f t="shared" si="1"/>
        <v>657444.16369940364</v>
      </c>
      <c r="K21" s="291"/>
      <c r="L21" s="292"/>
      <c r="M21" s="292"/>
      <c r="N21" s="292"/>
      <c r="O21" s="293"/>
      <c r="P21" s="293"/>
      <c r="Q21" s="293"/>
      <c r="R21" s="293"/>
      <c r="S21" s="293"/>
      <c r="T21" s="293"/>
    </row>
    <row r="22" spans="1:20" s="294" customFormat="1" ht="20.100000000000001" customHeight="1">
      <c r="A22" s="287" t="s">
        <v>392</v>
      </c>
      <c r="B22" s="288" t="s">
        <v>527</v>
      </c>
      <c r="C22" s="289">
        <v>32219970.172389489</v>
      </c>
      <c r="D22" s="289">
        <v>1095585.8506937008</v>
      </c>
      <c r="E22" s="289">
        <v>1088794.4832683895</v>
      </c>
      <c r="F22" s="289">
        <v>77695.529546253209</v>
      </c>
      <c r="G22" s="290">
        <f t="shared" si="0"/>
        <v>34482046.035897829</v>
      </c>
      <c r="H22" s="430">
        <v>2415</v>
      </c>
      <c r="I22" s="431" t="s">
        <v>254</v>
      </c>
      <c r="J22" s="432">
        <f t="shared" si="1"/>
        <v>14278.27993204879</v>
      </c>
      <c r="K22" s="291"/>
      <c r="L22" s="292"/>
      <c r="M22" s="292"/>
      <c r="N22" s="292"/>
      <c r="O22" s="293"/>
      <c r="P22" s="293"/>
      <c r="Q22" s="293"/>
      <c r="R22" s="293"/>
      <c r="S22" s="293"/>
      <c r="T22" s="293"/>
    </row>
    <row r="23" spans="1:20" s="294" customFormat="1" ht="20.100000000000001" customHeight="1">
      <c r="A23" s="287" t="s">
        <v>393</v>
      </c>
      <c r="B23" s="288" t="s">
        <v>528</v>
      </c>
      <c r="C23" s="289">
        <v>7078708.3549147649</v>
      </c>
      <c r="D23" s="289">
        <v>240494.45503032452</v>
      </c>
      <c r="E23" s="289">
        <v>239003.66705891478</v>
      </c>
      <c r="F23" s="289">
        <v>17055.116241860462</v>
      </c>
      <c r="G23" s="290">
        <f t="shared" si="0"/>
        <v>7575261.5932458648</v>
      </c>
      <c r="H23" s="430">
        <v>26000</v>
      </c>
      <c r="I23" s="431" t="s">
        <v>274</v>
      </c>
      <c r="J23" s="432">
        <f t="shared" si="1"/>
        <v>291.35621512484096</v>
      </c>
      <c r="K23" s="291"/>
      <c r="L23" s="292"/>
      <c r="M23" s="292"/>
      <c r="N23" s="292"/>
      <c r="O23" s="293"/>
      <c r="P23" s="293"/>
      <c r="Q23" s="293"/>
      <c r="R23" s="293"/>
      <c r="S23" s="293"/>
      <c r="T23" s="293"/>
    </row>
    <row r="24" spans="1:20" s="298" customFormat="1" ht="20.45" customHeight="1">
      <c r="A24" s="296"/>
      <c r="B24" s="317" t="s">
        <v>341</v>
      </c>
      <c r="C24" s="297">
        <f>SUM(C6:C23)</f>
        <v>2134465603.9700086</v>
      </c>
      <c r="D24" s="297">
        <f t="shared" ref="D24:G24" si="2">SUM(D6:D23)</f>
        <v>51375293.397258304</v>
      </c>
      <c r="E24" s="297">
        <f t="shared" si="2"/>
        <v>266056974.31034783</v>
      </c>
      <c r="F24" s="297">
        <f t="shared" si="2"/>
        <v>346058335.54489458</v>
      </c>
      <c r="G24" s="297">
        <f t="shared" si="2"/>
        <v>2797956207.2225103</v>
      </c>
      <c r="H24" s="435"/>
      <c r="I24" s="436"/>
      <c r="J24" s="437"/>
      <c r="K24" s="291"/>
      <c r="L24" s="292"/>
      <c r="M24" s="292"/>
      <c r="N24" s="292"/>
      <c r="O24" s="293"/>
      <c r="P24" s="293"/>
      <c r="Q24" s="293"/>
      <c r="R24" s="293"/>
      <c r="S24" s="293"/>
      <c r="T24" s="293"/>
    </row>
    <row r="25" spans="1:20" s="302" customFormat="1" ht="20.100000000000001" customHeight="1">
      <c r="A25" s="468" t="s">
        <v>354</v>
      </c>
      <c r="B25" s="299" t="s">
        <v>529</v>
      </c>
      <c r="C25" s="300">
        <v>333408178.44353551</v>
      </c>
      <c r="D25" s="300">
        <v>10319235.789698504</v>
      </c>
      <c r="E25" s="300">
        <v>45788040.371103548</v>
      </c>
      <c r="F25" s="300">
        <v>68389319.586380735</v>
      </c>
      <c r="G25" s="301">
        <f>SUM(C25:F25)</f>
        <v>457904774.19071823</v>
      </c>
      <c r="H25" s="734">
        <v>183194</v>
      </c>
      <c r="I25" s="438" t="s">
        <v>461</v>
      </c>
      <c r="J25" s="439">
        <f>G25/H25</f>
        <v>2499.5620718512519</v>
      </c>
      <c r="K25" s="291"/>
      <c r="L25" s="292"/>
      <c r="M25" s="292"/>
      <c r="N25" s="292"/>
      <c r="O25" s="293"/>
      <c r="P25" s="293"/>
      <c r="Q25" s="293"/>
      <c r="R25" s="293"/>
      <c r="S25" s="293"/>
      <c r="T25" s="293"/>
    </row>
    <row r="26" spans="1:20" s="302" customFormat="1" ht="20.100000000000001" customHeight="1">
      <c r="A26" s="467" t="s">
        <v>355</v>
      </c>
      <c r="B26" s="304" t="s">
        <v>530</v>
      </c>
      <c r="C26" s="305">
        <v>328431830.44941175</v>
      </c>
      <c r="D26" s="305">
        <v>9430536.6514799204</v>
      </c>
      <c r="E26" s="305">
        <v>45245139.540750884</v>
      </c>
      <c r="F26" s="305">
        <v>66006175.640217245</v>
      </c>
      <c r="G26" s="306">
        <f>SUM(C26:F26)</f>
        <v>449113682.28185976</v>
      </c>
      <c r="H26" s="440">
        <v>17355</v>
      </c>
      <c r="I26" s="441" t="s">
        <v>462</v>
      </c>
      <c r="J26" s="439">
        <f t="shared" ref="J26:J49" si="3">G26/H26</f>
        <v>25878.05717556092</v>
      </c>
      <c r="K26" s="291"/>
      <c r="L26" s="292"/>
      <c r="M26" s="292"/>
      <c r="N26" s="292"/>
      <c r="O26" s="293"/>
      <c r="P26" s="293"/>
      <c r="Q26" s="293"/>
      <c r="R26" s="293"/>
      <c r="S26" s="293"/>
      <c r="T26" s="293"/>
    </row>
    <row r="27" spans="1:20" s="302" customFormat="1" ht="20.100000000000001" customHeight="1">
      <c r="A27" s="303" t="s">
        <v>356</v>
      </c>
      <c r="B27" s="304" t="s">
        <v>531</v>
      </c>
      <c r="C27" s="305">
        <v>40411211.761434577</v>
      </c>
      <c r="D27" s="305">
        <v>2862618.4828790575</v>
      </c>
      <c r="E27" s="305">
        <v>2952486.975736435</v>
      </c>
      <c r="F27" s="305">
        <v>386289.94302325533</v>
      </c>
      <c r="G27" s="306">
        <f t="shared" ref="G27:G28" si="4">SUM(C27:F27)</f>
        <v>46612607.163073324</v>
      </c>
      <c r="H27" s="440">
        <v>3904</v>
      </c>
      <c r="I27" s="441" t="s">
        <v>463</v>
      </c>
      <c r="J27" s="439">
        <f t="shared" si="3"/>
        <v>11939.704703656076</v>
      </c>
      <c r="K27" s="291"/>
      <c r="L27" s="292"/>
      <c r="M27" s="292"/>
      <c r="N27" s="292"/>
      <c r="O27" s="293"/>
      <c r="P27" s="293"/>
      <c r="Q27" s="293"/>
      <c r="R27" s="293"/>
      <c r="S27" s="293"/>
      <c r="T27" s="293"/>
    </row>
    <row r="28" spans="1:20" s="302" customFormat="1" ht="20.100000000000001" customHeight="1">
      <c r="A28" s="303" t="s">
        <v>357</v>
      </c>
      <c r="B28" s="304" t="s">
        <v>532</v>
      </c>
      <c r="C28" s="305">
        <v>24390971.760787986</v>
      </c>
      <c r="D28" s="305">
        <v>1372811.978579646</v>
      </c>
      <c r="E28" s="305">
        <v>1101816.026151163</v>
      </c>
      <c r="F28" s="305">
        <v>1851711.5433837206</v>
      </c>
      <c r="G28" s="306">
        <f t="shared" si="4"/>
        <v>28717311.308902517</v>
      </c>
      <c r="H28" s="440">
        <v>5664</v>
      </c>
      <c r="I28" s="441" t="s">
        <v>464</v>
      </c>
      <c r="J28" s="439">
        <f t="shared" si="3"/>
        <v>5070.1467706395688</v>
      </c>
      <c r="K28" s="291"/>
      <c r="L28" s="292"/>
      <c r="M28" s="292"/>
      <c r="N28" s="292"/>
      <c r="O28" s="293"/>
      <c r="P28" s="293"/>
      <c r="Q28" s="293"/>
      <c r="R28" s="293"/>
      <c r="S28" s="293"/>
      <c r="T28" s="293"/>
    </row>
    <row r="29" spans="1:20" s="294" customFormat="1" ht="20.100000000000001" customHeight="1">
      <c r="A29" s="287" t="s">
        <v>358</v>
      </c>
      <c r="B29" s="307" t="s">
        <v>533</v>
      </c>
      <c r="C29" s="289">
        <v>16132311.936168436</v>
      </c>
      <c r="D29" s="289">
        <v>1067742.6500063916</v>
      </c>
      <c r="E29" s="289">
        <v>856968.02033979353</v>
      </c>
      <c r="F29" s="289">
        <v>1440220.0892984495</v>
      </c>
      <c r="G29" s="308">
        <f>SUM(C29:F29)</f>
        <v>19497242.695813071</v>
      </c>
      <c r="H29" s="430">
        <v>11</v>
      </c>
      <c r="I29" s="431" t="s">
        <v>252</v>
      </c>
      <c r="J29" s="442">
        <f t="shared" si="3"/>
        <v>1772476.6087102792</v>
      </c>
      <c r="K29" s="291"/>
      <c r="L29" s="292"/>
      <c r="M29" s="292"/>
      <c r="N29" s="292"/>
      <c r="O29" s="293"/>
      <c r="P29" s="293"/>
      <c r="Q29" s="293"/>
      <c r="R29" s="293"/>
      <c r="S29" s="293"/>
      <c r="T29" s="293"/>
    </row>
    <row r="30" spans="1:20" s="294" customFormat="1" ht="20.100000000000001" customHeight="1">
      <c r="A30" s="287" t="s">
        <v>359</v>
      </c>
      <c r="B30" s="307" t="s">
        <v>534</v>
      </c>
      <c r="C30" s="289">
        <v>9172372.7492391057</v>
      </c>
      <c r="D30" s="289">
        <v>610138.6571465095</v>
      </c>
      <c r="E30" s="289">
        <v>489696.01162273908</v>
      </c>
      <c r="F30" s="289">
        <v>822982.90817054245</v>
      </c>
      <c r="G30" s="308">
        <f>SUM(C30:F30)</f>
        <v>11095190.326178897</v>
      </c>
      <c r="H30" s="430">
        <v>31</v>
      </c>
      <c r="I30" s="431" t="s">
        <v>250</v>
      </c>
      <c r="J30" s="442">
        <f t="shared" si="3"/>
        <v>357909.3653606096</v>
      </c>
      <c r="K30" s="291"/>
      <c r="L30" s="292"/>
      <c r="M30" s="292"/>
      <c r="N30" s="292"/>
      <c r="O30" s="293"/>
      <c r="P30" s="293"/>
      <c r="Q30" s="293"/>
      <c r="R30" s="293"/>
      <c r="S30" s="293"/>
      <c r="T30" s="293"/>
    </row>
    <row r="31" spans="1:20" s="302" customFormat="1" ht="20.100000000000001" customHeight="1">
      <c r="A31" s="303" t="s">
        <v>360</v>
      </c>
      <c r="B31" s="304" t="s">
        <v>405</v>
      </c>
      <c r="C31" s="305">
        <v>22616421.393657792</v>
      </c>
      <c r="D31" s="305">
        <v>591769.39565728826</v>
      </c>
      <c r="E31" s="305">
        <v>2967508.452822506</v>
      </c>
      <c r="F31" s="305">
        <v>3761252.0252916054</v>
      </c>
      <c r="G31" s="306">
        <f>SUM(C31:F31)</f>
        <v>29936951.267429195</v>
      </c>
      <c r="H31" s="734">
        <v>53828</v>
      </c>
      <c r="I31" s="443" t="s">
        <v>465</v>
      </c>
      <c r="J31" s="439">
        <f t="shared" si="3"/>
        <v>556.15945729785972</v>
      </c>
      <c r="K31" s="291"/>
      <c r="L31" s="292"/>
      <c r="M31" s="292"/>
      <c r="N31" s="292"/>
      <c r="O31" s="293"/>
      <c r="P31" s="293"/>
      <c r="Q31" s="293"/>
      <c r="R31" s="293"/>
      <c r="S31" s="293"/>
      <c r="T31" s="293"/>
    </row>
    <row r="32" spans="1:20" s="294" customFormat="1" ht="18.75">
      <c r="A32" s="246" t="s">
        <v>361</v>
      </c>
      <c r="B32" s="307" t="s">
        <v>406</v>
      </c>
      <c r="C32" s="289">
        <v>5555606.6047228063</v>
      </c>
      <c r="D32" s="289">
        <v>279690.73250213044</v>
      </c>
      <c r="E32" s="289">
        <v>274050.75694659783</v>
      </c>
      <c r="F32" s="289">
        <v>5912.3237661498715</v>
      </c>
      <c r="G32" s="308">
        <f t="shared" ref="G32" si="5">SUM(C32:F32)</f>
        <v>6115260.4179376848</v>
      </c>
      <c r="H32" s="430">
        <v>1045</v>
      </c>
      <c r="I32" s="444" t="s">
        <v>460</v>
      </c>
      <c r="J32" s="442">
        <f t="shared" si="3"/>
        <v>5851.923844916445</v>
      </c>
      <c r="K32" s="291"/>
      <c r="L32" s="292"/>
      <c r="M32" s="292"/>
      <c r="N32" s="292"/>
      <c r="O32" s="293"/>
      <c r="P32" s="293"/>
      <c r="Q32" s="293"/>
      <c r="R32" s="293"/>
      <c r="S32" s="293"/>
      <c r="T32" s="293"/>
    </row>
    <row r="33" spans="1:20" s="294" customFormat="1" ht="20.100000000000001" customHeight="1">
      <c r="A33" s="287" t="s">
        <v>362</v>
      </c>
      <c r="B33" s="307" t="s">
        <v>535</v>
      </c>
      <c r="C33" s="289">
        <v>5978350.7631358346</v>
      </c>
      <c r="D33" s="289">
        <v>439514.00821763364</v>
      </c>
      <c r="E33" s="289">
        <v>438517.79948751087</v>
      </c>
      <c r="F33" s="289">
        <v>5032.0344896640827</v>
      </c>
      <c r="G33" s="308">
        <f t="shared" ref="G33:G41" si="6">SUM(C33:F33)</f>
        <v>6861414.6053306432</v>
      </c>
      <c r="H33" s="430">
        <v>1428</v>
      </c>
      <c r="I33" s="444" t="s">
        <v>250</v>
      </c>
      <c r="J33" s="442">
        <f t="shared" si="3"/>
        <v>4804.9121886068933</v>
      </c>
      <c r="K33" s="291"/>
      <c r="L33" s="292"/>
      <c r="M33" s="292"/>
      <c r="N33" s="292"/>
      <c r="O33" s="293"/>
      <c r="P33" s="293"/>
      <c r="Q33" s="293"/>
      <c r="R33" s="293"/>
      <c r="S33" s="293"/>
      <c r="T33" s="293"/>
    </row>
    <row r="34" spans="1:20" s="302" customFormat="1" ht="20.100000000000001" customHeight="1">
      <c r="A34" s="303" t="s">
        <v>363</v>
      </c>
      <c r="B34" s="304" t="s">
        <v>407</v>
      </c>
      <c r="C34" s="305">
        <v>31094234.236233585</v>
      </c>
      <c r="D34" s="305">
        <v>1638188.5860839076</v>
      </c>
      <c r="E34" s="305">
        <v>1761207.0035443585</v>
      </c>
      <c r="F34" s="305">
        <v>145986.11491602071</v>
      </c>
      <c r="G34" s="306">
        <f t="shared" si="6"/>
        <v>34639615.940777868</v>
      </c>
      <c r="H34" s="440">
        <v>94977</v>
      </c>
      <c r="I34" s="443" t="s">
        <v>466</v>
      </c>
      <c r="J34" s="439">
        <f t="shared" si="3"/>
        <v>364.7158358421288</v>
      </c>
      <c r="K34" s="291"/>
      <c r="L34" s="292"/>
      <c r="M34" s="292"/>
      <c r="N34" s="292"/>
      <c r="O34" s="293"/>
      <c r="P34" s="293"/>
      <c r="Q34" s="293"/>
      <c r="R34" s="293"/>
      <c r="S34" s="293"/>
      <c r="T34" s="293"/>
    </row>
    <row r="35" spans="1:20" s="302" customFormat="1" ht="20.100000000000001" customHeight="1">
      <c r="A35" s="303" t="s">
        <v>375</v>
      </c>
      <c r="B35" s="304" t="s">
        <v>260</v>
      </c>
      <c r="C35" s="305">
        <v>5895932.3189293211</v>
      </c>
      <c r="D35" s="305">
        <v>359602.37035988207</v>
      </c>
      <c r="E35" s="305">
        <v>332778.08321705431</v>
      </c>
      <c r="F35" s="305">
        <v>22687.329127906978</v>
      </c>
      <c r="G35" s="306">
        <f t="shared" si="6"/>
        <v>6611000.1016341643</v>
      </c>
      <c r="H35" s="440">
        <v>1</v>
      </c>
      <c r="I35" s="443" t="s">
        <v>259</v>
      </c>
      <c r="J35" s="439">
        <f t="shared" si="3"/>
        <v>6611000.1016341643</v>
      </c>
      <c r="K35" s="291"/>
      <c r="L35" s="292"/>
      <c r="M35" s="292"/>
      <c r="N35" s="292"/>
      <c r="O35" s="293"/>
      <c r="P35" s="293"/>
      <c r="Q35" s="293"/>
      <c r="R35" s="293"/>
      <c r="S35" s="293"/>
      <c r="T35" s="293"/>
    </row>
    <row r="36" spans="1:20" s="294" customFormat="1" ht="20.100000000000001" customHeight="1">
      <c r="A36" s="467" t="s">
        <v>376</v>
      </c>
      <c r="B36" s="466" t="s">
        <v>415</v>
      </c>
      <c r="C36" s="289">
        <v>900000</v>
      </c>
      <c r="D36" s="289">
        <v>0</v>
      </c>
      <c r="E36" s="289">
        <v>0</v>
      </c>
      <c r="F36" s="289">
        <v>0</v>
      </c>
      <c r="G36" s="312">
        <f t="shared" si="6"/>
        <v>900000</v>
      </c>
      <c r="H36" s="430">
        <v>6</v>
      </c>
      <c r="I36" s="444" t="s">
        <v>348</v>
      </c>
      <c r="J36" s="442">
        <f t="shared" si="3"/>
        <v>150000</v>
      </c>
      <c r="K36" s="291"/>
      <c r="L36" s="292"/>
      <c r="M36" s="292"/>
      <c r="N36" s="292"/>
      <c r="Q36" s="293"/>
      <c r="R36" s="293"/>
      <c r="S36" s="293"/>
      <c r="T36" s="293"/>
    </row>
    <row r="37" spans="1:20" s="293" customFormat="1" ht="20.100000000000001" customHeight="1">
      <c r="A37" s="303" t="s">
        <v>377</v>
      </c>
      <c r="B37" s="304" t="s">
        <v>339</v>
      </c>
      <c r="C37" s="305">
        <v>19207781.799943186</v>
      </c>
      <c r="D37" s="305">
        <v>4115556.4156862632</v>
      </c>
      <c r="E37" s="305">
        <v>682461.03114513366</v>
      </c>
      <c r="F37" s="305">
        <v>41297645.303921841</v>
      </c>
      <c r="G37" s="306">
        <f t="shared" si="6"/>
        <v>65303444.550696425</v>
      </c>
      <c r="H37" s="440">
        <v>1309</v>
      </c>
      <c r="I37" s="443" t="s">
        <v>258</v>
      </c>
      <c r="J37" s="439">
        <f t="shared" si="3"/>
        <v>49888.040145681</v>
      </c>
      <c r="K37" s="313" t="s">
        <v>439</v>
      </c>
      <c r="L37" s="314"/>
      <c r="M37" s="314"/>
      <c r="N37" s="314"/>
      <c r="O37" s="302"/>
      <c r="P37" s="302"/>
      <c r="R37" s="316"/>
    </row>
    <row r="38" spans="1:20" s="302" customFormat="1" ht="20.100000000000001" customHeight="1">
      <c r="A38" s="303" t="s">
        <v>378</v>
      </c>
      <c r="B38" s="304" t="s">
        <v>536</v>
      </c>
      <c r="C38" s="305">
        <v>166520071.15965909</v>
      </c>
      <c r="D38" s="305">
        <v>24693338.494117577</v>
      </c>
      <c r="E38" s="305">
        <v>4094766.1868708031</v>
      </c>
      <c r="F38" s="305">
        <v>247785871.82353103</v>
      </c>
      <c r="G38" s="306">
        <f t="shared" si="6"/>
        <v>443094047.66417849</v>
      </c>
      <c r="H38" s="440">
        <v>1</v>
      </c>
      <c r="I38" s="443" t="s">
        <v>262</v>
      </c>
      <c r="J38" s="439">
        <f t="shared" si="3"/>
        <v>443094047.66417849</v>
      </c>
      <c r="K38" s="313" t="s">
        <v>440</v>
      </c>
      <c r="L38" s="314"/>
      <c r="M38" s="314"/>
      <c r="N38" s="314"/>
      <c r="Q38" s="293"/>
      <c r="R38" s="316"/>
      <c r="S38" s="293"/>
      <c r="T38" s="293"/>
    </row>
    <row r="39" spans="1:20" s="302" customFormat="1" ht="20.100000000000001" customHeight="1">
      <c r="A39" s="287" t="s">
        <v>379</v>
      </c>
      <c r="B39" s="315" t="s">
        <v>537</v>
      </c>
      <c r="C39" s="289">
        <v>48367758.269829556</v>
      </c>
      <c r="D39" s="289">
        <v>12346669.247058788</v>
      </c>
      <c r="E39" s="289">
        <v>2047383.0934354016</v>
      </c>
      <c r="F39" s="289">
        <v>123892935.91176552</v>
      </c>
      <c r="G39" s="308">
        <f t="shared" si="6"/>
        <v>186654746.52208924</v>
      </c>
      <c r="H39" s="430">
        <v>1</v>
      </c>
      <c r="I39" s="444" t="s">
        <v>262</v>
      </c>
      <c r="J39" s="442">
        <f t="shared" si="3"/>
        <v>186654746.52208924</v>
      </c>
      <c r="K39" s="293"/>
      <c r="L39" s="311"/>
      <c r="M39" s="311"/>
      <c r="N39" s="311"/>
      <c r="O39" s="293"/>
      <c r="P39" s="293"/>
      <c r="Q39" s="293"/>
      <c r="R39" s="316"/>
      <c r="S39" s="293"/>
      <c r="T39" s="293"/>
    </row>
    <row r="40" spans="1:20" s="302" customFormat="1" ht="20.100000000000001" customHeight="1">
      <c r="A40" s="303" t="s">
        <v>380</v>
      </c>
      <c r="B40" s="304" t="s">
        <v>538</v>
      </c>
      <c r="C40" s="305">
        <v>20335594.606303908</v>
      </c>
      <c r="D40" s="305">
        <v>1166988.2877468709</v>
      </c>
      <c r="E40" s="305">
        <v>1127673.9428441511</v>
      </c>
      <c r="F40" s="305">
        <v>178481.76643885343</v>
      </c>
      <c r="G40" s="306">
        <f t="shared" si="6"/>
        <v>22808738.603333782</v>
      </c>
      <c r="H40" s="440">
        <v>1</v>
      </c>
      <c r="I40" s="445" t="s">
        <v>259</v>
      </c>
      <c r="J40" s="439">
        <f t="shared" si="3"/>
        <v>22808738.603333782</v>
      </c>
      <c r="K40" s="313" t="s">
        <v>438</v>
      </c>
      <c r="L40" s="314"/>
      <c r="M40" s="314"/>
      <c r="N40" s="314"/>
      <c r="Q40" s="293"/>
      <c r="R40" s="293"/>
      <c r="S40" s="293" t="s">
        <v>483</v>
      </c>
      <c r="T40" s="293"/>
    </row>
    <row r="41" spans="1:20" s="294" customFormat="1" ht="18.75">
      <c r="A41" s="246" t="s">
        <v>381</v>
      </c>
      <c r="B41" s="307" t="s">
        <v>539</v>
      </c>
      <c r="C41" s="289">
        <v>24401132.557304252</v>
      </c>
      <c r="D41" s="289">
        <v>1278586.2157240254</v>
      </c>
      <c r="E41" s="289">
        <v>1266671.8803273044</v>
      </c>
      <c r="F41" s="289">
        <v>119765.3657881137</v>
      </c>
      <c r="G41" s="308">
        <f t="shared" si="6"/>
        <v>27066156.019143693</v>
      </c>
      <c r="H41" s="430">
        <v>3203</v>
      </c>
      <c r="I41" s="444" t="s">
        <v>250</v>
      </c>
      <c r="J41" s="442">
        <f t="shared" si="3"/>
        <v>8450.2516450651547</v>
      </c>
      <c r="K41" s="291"/>
      <c r="L41" s="292"/>
      <c r="M41" s="292"/>
      <c r="N41" s="292"/>
      <c r="Q41" s="293"/>
      <c r="R41" s="293"/>
      <c r="S41" s="293"/>
      <c r="T41" s="293"/>
    </row>
    <row r="42" spans="1:20" s="294" customFormat="1" ht="20.100000000000001" customHeight="1">
      <c r="A42" s="287" t="s">
        <v>382</v>
      </c>
      <c r="B42" s="307" t="s">
        <v>420</v>
      </c>
      <c r="C42" s="289">
        <v>18621247.686730448</v>
      </c>
      <c r="D42" s="289">
        <v>1226410.4671943302</v>
      </c>
      <c r="E42" s="289">
        <v>1057713.1683731165</v>
      </c>
      <c r="F42" s="289">
        <v>501001.62220431358</v>
      </c>
      <c r="G42" s="308">
        <f t="shared" ref="G42:G47" si="7">SUM(C42:F42)</f>
        <v>21406372.944502208</v>
      </c>
      <c r="H42" s="430">
        <v>150</v>
      </c>
      <c r="I42" s="444" t="s">
        <v>250</v>
      </c>
      <c r="J42" s="442">
        <f t="shared" si="3"/>
        <v>142709.15296334805</v>
      </c>
      <c r="K42" s="291"/>
      <c r="L42" s="292"/>
      <c r="M42" s="292"/>
      <c r="N42" s="292"/>
      <c r="Q42" s="293"/>
      <c r="R42" s="293"/>
      <c r="S42" s="293"/>
      <c r="T42" s="293"/>
    </row>
    <row r="43" spans="1:20" s="294" customFormat="1" ht="20.100000000000001" customHeight="1">
      <c r="A43" s="287" t="s">
        <v>383</v>
      </c>
      <c r="B43" s="307" t="s">
        <v>540</v>
      </c>
      <c r="C43" s="289">
        <v>31646876.425095674</v>
      </c>
      <c r="D43" s="289">
        <v>1839615.7007914954</v>
      </c>
      <c r="E43" s="289">
        <v>1586569.7525596744</v>
      </c>
      <c r="F43" s="289">
        <v>751502.4333064704</v>
      </c>
      <c r="G43" s="308">
        <f t="shared" si="7"/>
        <v>35824564.311753318</v>
      </c>
      <c r="H43" s="430">
        <v>75000</v>
      </c>
      <c r="I43" s="444" t="s">
        <v>250</v>
      </c>
      <c r="J43" s="442">
        <f t="shared" si="3"/>
        <v>477.66085749004424</v>
      </c>
      <c r="K43" s="291"/>
      <c r="L43" s="292"/>
      <c r="M43" s="292"/>
      <c r="N43" s="292"/>
      <c r="Q43" s="293"/>
      <c r="R43" s="293"/>
      <c r="S43" s="293"/>
      <c r="T43" s="293"/>
    </row>
    <row r="44" spans="1:20" s="293" customFormat="1" ht="18.75">
      <c r="A44" s="429" t="s">
        <v>453</v>
      </c>
      <c r="B44" s="309" t="s">
        <v>458</v>
      </c>
      <c r="C44" s="289">
        <v>3903658.3759182608</v>
      </c>
      <c r="D44" s="289">
        <v>30660.261679858257</v>
      </c>
      <c r="E44" s="289">
        <v>26442.829209327909</v>
      </c>
      <c r="F44" s="289">
        <v>12525.040555107838</v>
      </c>
      <c r="G44" s="308">
        <f t="shared" si="7"/>
        <v>3973286.5073625548</v>
      </c>
      <c r="H44" s="430">
        <v>7</v>
      </c>
      <c r="I44" s="446" t="s">
        <v>250</v>
      </c>
      <c r="J44" s="442">
        <f t="shared" si="3"/>
        <v>567612.35819465073</v>
      </c>
      <c r="K44" s="310"/>
      <c r="L44" s="311"/>
      <c r="M44" s="311"/>
      <c r="N44" s="311"/>
    </row>
    <row r="45" spans="1:20" s="294" customFormat="1" ht="18.75">
      <c r="A45" s="246" t="s">
        <v>384</v>
      </c>
      <c r="B45" s="307" t="s">
        <v>541</v>
      </c>
      <c r="C45" s="289">
        <v>15663643.322581451</v>
      </c>
      <c r="D45" s="289">
        <v>998895.4732218947</v>
      </c>
      <c r="E45" s="289">
        <v>883150.95338070637</v>
      </c>
      <c r="F45" s="289">
        <v>566989.54202196444</v>
      </c>
      <c r="G45" s="308">
        <f t="shared" si="7"/>
        <v>18112679.291206017</v>
      </c>
      <c r="H45" s="430">
        <v>24996</v>
      </c>
      <c r="I45" s="444" t="s">
        <v>250</v>
      </c>
      <c r="J45" s="442">
        <f t="shared" si="3"/>
        <v>724.62311134605602</v>
      </c>
      <c r="K45" s="291"/>
      <c r="L45" s="292"/>
      <c r="M45" s="292"/>
      <c r="N45" s="292"/>
      <c r="Q45" s="293"/>
      <c r="R45" s="293"/>
      <c r="S45" s="293"/>
      <c r="T45" s="293"/>
    </row>
    <row r="46" spans="1:20" s="294" customFormat="1" ht="20.100000000000001" customHeight="1">
      <c r="A46" s="287" t="s">
        <v>397</v>
      </c>
      <c r="B46" s="307" t="s">
        <v>261</v>
      </c>
      <c r="C46" s="289">
        <v>347705199.29704052</v>
      </c>
      <c r="D46" s="289">
        <v>6764439.2368241837</v>
      </c>
      <c r="E46" s="289">
        <v>43616437.049692892</v>
      </c>
      <c r="F46" s="289">
        <v>58856743.801726729</v>
      </c>
      <c r="G46" s="308">
        <f t="shared" si="7"/>
        <v>456942819.3852843</v>
      </c>
      <c r="H46" s="430">
        <v>796409</v>
      </c>
      <c r="I46" s="444" t="s">
        <v>250</v>
      </c>
      <c r="J46" s="442">
        <f t="shared" si="3"/>
        <v>573.75396233001425</v>
      </c>
      <c r="K46" s="291"/>
      <c r="L46" s="292"/>
      <c r="M46" s="292"/>
      <c r="N46" s="292"/>
      <c r="Q46" s="293"/>
      <c r="R46" s="293"/>
      <c r="S46" s="293"/>
      <c r="T46" s="293"/>
    </row>
    <row r="47" spans="1:20" s="294" customFormat="1" ht="20.100000000000001" customHeight="1">
      <c r="A47" s="287" t="s">
        <v>398</v>
      </c>
      <c r="B47" s="307" t="s">
        <v>430</v>
      </c>
      <c r="C47" s="289">
        <v>313003943.86704057</v>
      </c>
      <c r="D47" s="289">
        <v>6764439.2368241837</v>
      </c>
      <c r="E47" s="289">
        <v>48785437.049692892</v>
      </c>
      <c r="F47" s="289">
        <v>58856743.801726729</v>
      </c>
      <c r="G47" s="308">
        <f t="shared" si="7"/>
        <v>427410563.95528436</v>
      </c>
      <c r="H47" s="633">
        <v>30701</v>
      </c>
      <c r="I47" s="444" t="s">
        <v>250</v>
      </c>
      <c r="J47" s="442">
        <f t="shared" si="3"/>
        <v>13921.714730962651</v>
      </c>
      <c r="K47" s="291"/>
      <c r="L47" s="292"/>
      <c r="M47" s="292"/>
      <c r="N47" s="292"/>
      <c r="Q47" s="293"/>
      <c r="R47" s="293"/>
      <c r="S47" s="293"/>
      <c r="T47" s="293"/>
    </row>
    <row r="48" spans="1:20" s="294" customFormat="1" ht="20.100000000000001" customHeight="1">
      <c r="A48" s="287" t="s">
        <v>399</v>
      </c>
      <c r="B48" s="307" t="s">
        <v>340</v>
      </c>
      <c r="C48" s="289">
        <v>313486889.5270406</v>
      </c>
      <c r="D48" s="289">
        <v>6764439.2368241837</v>
      </c>
      <c r="E48" s="289">
        <v>43616437.049692892</v>
      </c>
      <c r="F48" s="289">
        <v>58856743.801726729</v>
      </c>
      <c r="G48" s="308">
        <f>SUM(C48:F48)</f>
        <v>422724509.61528432</v>
      </c>
      <c r="H48" s="430">
        <v>2145355</v>
      </c>
      <c r="I48" s="444" t="s">
        <v>250</v>
      </c>
      <c r="J48" s="442">
        <f t="shared" si="3"/>
        <v>197.04175281726535</v>
      </c>
      <c r="K48" s="291"/>
      <c r="L48" s="292"/>
      <c r="M48" s="292"/>
      <c r="N48" s="292"/>
      <c r="Q48" s="293"/>
      <c r="R48" s="293"/>
      <c r="S48" s="293"/>
      <c r="T48" s="293"/>
    </row>
    <row r="49" spans="1:20" s="302" customFormat="1" ht="20.100000000000001" customHeight="1">
      <c r="A49" s="467" t="s">
        <v>400</v>
      </c>
      <c r="B49" s="304" t="s">
        <v>542</v>
      </c>
      <c r="C49" s="305">
        <v>10164072.228247479</v>
      </c>
      <c r="D49" s="305">
        <v>1777398.2764371613</v>
      </c>
      <c r="E49" s="305">
        <v>1085801.6607053305</v>
      </c>
      <c r="F49" s="305">
        <v>4766287.8923270162</v>
      </c>
      <c r="G49" s="306">
        <f>SUM(C49:F49)</f>
        <v>17793560.057716988</v>
      </c>
      <c r="H49" s="440">
        <v>127096.85755512134</v>
      </c>
      <c r="I49" s="443" t="s">
        <v>264</v>
      </c>
      <c r="J49" s="439">
        <f t="shared" si="3"/>
        <v>140</v>
      </c>
      <c r="K49" s="291"/>
      <c r="L49" s="292"/>
      <c r="M49" s="292"/>
      <c r="N49" s="292"/>
      <c r="Q49" s="293"/>
      <c r="R49" s="293"/>
      <c r="S49" s="293"/>
      <c r="T49" s="293"/>
    </row>
    <row r="50" spans="1:20" s="294" customFormat="1" ht="20.100000000000001" customHeight="1">
      <c r="A50" s="336"/>
      <c r="B50" s="337" t="s">
        <v>342</v>
      </c>
      <c r="C50" s="338">
        <f>SUM(C25:C49)</f>
        <v>2157015291.5399914</v>
      </c>
      <c r="D50" s="338">
        <f t="shared" ref="D50:F50" si="8">SUM(D25:D49)</f>
        <v>98739285.852741703</v>
      </c>
      <c r="E50" s="338">
        <f t="shared" si="8"/>
        <v>252085154.68965223</v>
      </c>
      <c r="F50" s="338">
        <f t="shared" si="8"/>
        <v>739280807.6451056</v>
      </c>
      <c r="G50" s="338">
        <f>SUM(G25:G49)</f>
        <v>3247120539.7274904</v>
      </c>
      <c r="H50" s="447"/>
      <c r="I50" s="448"/>
      <c r="J50" s="449"/>
      <c r="K50" s="291"/>
      <c r="L50" s="292"/>
      <c r="M50" s="292"/>
      <c r="N50" s="292"/>
      <c r="Q50" s="293"/>
      <c r="R50" s="293"/>
      <c r="S50" s="293"/>
      <c r="T50" s="293"/>
    </row>
    <row r="51" spans="1:20" s="293" customFormat="1" ht="20.100000000000001" customHeight="1">
      <c r="A51" s="318">
        <v>888</v>
      </c>
      <c r="B51" s="319" t="s">
        <v>347</v>
      </c>
      <c r="C51" s="320">
        <v>0</v>
      </c>
      <c r="D51" s="320">
        <v>207323913.97000003</v>
      </c>
      <c r="E51" s="320">
        <v>7970530696.6699991</v>
      </c>
      <c r="F51" s="320">
        <v>0</v>
      </c>
      <c r="G51" s="308">
        <f t="shared" ref="G51" si="9">SUM(C51:F51)</f>
        <v>8177854610.6399994</v>
      </c>
      <c r="H51" s="450">
        <v>77</v>
      </c>
      <c r="I51" s="451" t="s">
        <v>251</v>
      </c>
      <c r="J51" s="442">
        <f>G51/H51</f>
        <v>106205904.03428571</v>
      </c>
      <c r="K51" s="310"/>
      <c r="L51" s="311"/>
      <c r="M51" s="311"/>
      <c r="N51" s="311"/>
      <c r="O51" s="321"/>
      <c r="P51" s="322"/>
      <c r="Q51" s="322"/>
      <c r="R51" s="323"/>
      <c r="S51" s="324"/>
    </row>
    <row r="52" spans="1:20" s="293" customFormat="1" ht="25.5" customHeight="1">
      <c r="A52" s="332"/>
      <c r="B52" s="333" t="s">
        <v>345</v>
      </c>
      <c r="C52" s="334">
        <f>C24+C50+C51</f>
        <v>4291480895.5100002</v>
      </c>
      <c r="D52" s="334">
        <f t="shared" ref="D52:F52" si="10">D24+D50+D51</f>
        <v>357438493.22000003</v>
      </c>
      <c r="E52" s="334">
        <f t="shared" si="10"/>
        <v>8488672825.6699991</v>
      </c>
      <c r="F52" s="334">
        <f t="shared" si="10"/>
        <v>1085339143.1900001</v>
      </c>
      <c r="G52" s="334">
        <f>SUM(C52:F52)</f>
        <v>14222931357.59</v>
      </c>
      <c r="H52" s="341"/>
      <c r="I52" s="335"/>
      <c r="J52" s="344"/>
      <c r="K52" s="310"/>
      <c r="L52" s="311"/>
      <c r="M52" s="311"/>
      <c r="N52" s="311"/>
    </row>
    <row r="54" spans="1:20" ht="21" customHeight="1">
      <c r="C54" s="215"/>
      <c r="D54" s="215"/>
      <c r="E54" s="215"/>
      <c r="F54" s="215"/>
      <c r="G54" s="248"/>
    </row>
    <row r="55" spans="1:20" ht="21" customHeight="1">
      <c r="C55" s="215"/>
      <c r="D55" s="215"/>
      <c r="E55" s="215"/>
      <c r="F55" s="215"/>
      <c r="G55" s="215"/>
    </row>
    <row r="56" spans="1:20" ht="21" customHeight="1">
      <c r="D56" s="65"/>
      <c r="E56" s="65"/>
      <c r="F56" s="65"/>
    </row>
    <row r="58" spans="1:20" ht="18.75">
      <c r="B58" s="249"/>
    </row>
  </sheetData>
  <mergeCells count="3">
    <mergeCell ref="A1:J1"/>
    <mergeCell ref="A2:J2"/>
    <mergeCell ref="A5:J5"/>
  </mergeCells>
  <pageMargins left="0.33" right="0.15748031496062992" top="0.43307086614173229" bottom="0.19685039370078741" header="0.15748031496062992" footer="0.1574803149606299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"/>
  <sheetViews>
    <sheetView view="pageBreakPreview" zoomScale="90" zoomScaleSheetLayoutView="90" workbookViewId="0">
      <selection activeCell="E7" sqref="E7"/>
    </sheetView>
  </sheetViews>
  <sheetFormatPr defaultColWidth="8.85546875" defaultRowHeight="21" customHeight="1"/>
  <cols>
    <col min="1" max="1" width="6.7109375" style="52" customWidth="1"/>
    <col min="2" max="2" width="67" style="11" customWidth="1"/>
    <col min="3" max="3" width="17.7109375" style="53" customWidth="1"/>
    <col min="4" max="5" width="16.28515625" style="53" customWidth="1"/>
    <col min="6" max="6" width="16" style="53" customWidth="1"/>
    <col min="7" max="7" width="16.5703125" style="11" customWidth="1"/>
    <col min="8" max="8" width="7" style="593" customWidth="1"/>
    <col min="9" max="9" width="7.42578125" style="594" customWidth="1"/>
    <col min="10" max="10" width="14.85546875" style="83" customWidth="1"/>
    <col min="11" max="11" width="16" style="11" bestFit="1" customWidth="1"/>
    <col min="12" max="12" width="14.5703125" style="11" bestFit="1" customWidth="1"/>
    <col min="13" max="14" width="4.85546875" style="11" bestFit="1" customWidth="1"/>
    <col min="15" max="16384" width="8.85546875" style="11"/>
  </cols>
  <sheetData>
    <row r="1" spans="1:14" s="49" customFormat="1" ht="21" customHeight="1">
      <c r="A1" s="793" t="s">
        <v>485</v>
      </c>
      <c r="B1" s="793"/>
      <c r="C1" s="793"/>
      <c r="D1" s="793"/>
      <c r="E1" s="793"/>
      <c r="F1" s="793"/>
      <c r="G1" s="793"/>
      <c r="H1" s="793"/>
      <c r="I1" s="793"/>
      <c r="J1" s="793"/>
    </row>
    <row r="2" spans="1:14" s="49" customFormat="1" ht="21" customHeight="1">
      <c r="A2" s="793" t="s">
        <v>493</v>
      </c>
      <c r="B2" s="793"/>
      <c r="C2" s="793"/>
      <c r="D2" s="793"/>
      <c r="E2" s="793"/>
      <c r="F2" s="793"/>
      <c r="G2" s="793"/>
      <c r="H2" s="793"/>
      <c r="I2" s="793"/>
      <c r="J2" s="793"/>
    </row>
    <row r="3" spans="1:14" s="49" customFormat="1" ht="21" customHeight="1">
      <c r="A3" s="572"/>
      <c r="C3" s="50"/>
      <c r="D3" s="50"/>
      <c r="E3" s="50"/>
      <c r="F3" s="50"/>
      <c r="H3" s="578"/>
      <c r="I3" s="579"/>
      <c r="J3" s="44"/>
    </row>
    <row r="4" spans="1:14" s="49" customFormat="1" ht="21" customHeight="1">
      <c r="A4" s="99" t="s">
        <v>10</v>
      </c>
      <c r="B4" s="454" t="s">
        <v>265</v>
      </c>
      <c r="C4" s="460" t="s">
        <v>11</v>
      </c>
      <c r="D4" s="460" t="s">
        <v>12</v>
      </c>
      <c r="E4" s="460" t="s">
        <v>0</v>
      </c>
      <c r="F4" s="460" t="s">
        <v>244</v>
      </c>
      <c r="G4" s="461" t="s">
        <v>245</v>
      </c>
      <c r="H4" s="580" t="s">
        <v>246</v>
      </c>
      <c r="I4" s="581" t="s">
        <v>247</v>
      </c>
      <c r="J4" s="581" t="s">
        <v>248</v>
      </c>
      <c r="K4" s="101"/>
    </row>
    <row r="5" spans="1:14" s="51" customFormat="1" ht="21" customHeight="1">
      <c r="A5" s="105">
        <v>201</v>
      </c>
      <c r="B5" s="455" t="s">
        <v>494</v>
      </c>
      <c r="C5" s="185">
        <v>234095611.22943112</v>
      </c>
      <c r="D5" s="185">
        <v>41155564.156862617</v>
      </c>
      <c r="E5" s="185">
        <v>6824610.3114513382</v>
      </c>
      <c r="F5" s="185">
        <v>412976453.03921843</v>
      </c>
      <c r="G5" s="469">
        <f>SUM(C5:F5)</f>
        <v>695052238.73696351</v>
      </c>
      <c r="H5" s="582">
        <v>115</v>
      </c>
      <c r="I5" s="583" t="s">
        <v>278</v>
      </c>
      <c r="J5" s="584">
        <f>G5/H5</f>
        <v>6043932.5107562048</v>
      </c>
      <c r="K5" s="225"/>
      <c r="L5" s="80"/>
      <c r="M5" s="80"/>
      <c r="N5" s="80"/>
    </row>
    <row r="6" spans="1:14" s="51" customFormat="1" ht="21" customHeight="1">
      <c r="A6" s="106">
        <v>202</v>
      </c>
      <c r="B6" s="456" t="s">
        <v>495</v>
      </c>
      <c r="C6" s="185">
        <v>3903658.3759182608</v>
      </c>
      <c r="D6" s="185">
        <v>30660.261679858257</v>
      </c>
      <c r="E6" s="185">
        <v>26442.829209327909</v>
      </c>
      <c r="F6" s="185">
        <v>12525.040555107838</v>
      </c>
      <c r="G6" s="469">
        <f t="shared" ref="G6:G10" si="0">SUM(C6:F6)</f>
        <v>3973286.5073625548</v>
      </c>
      <c r="H6" s="585">
        <v>77</v>
      </c>
      <c r="I6" s="586" t="s">
        <v>251</v>
      </c>
      <c r="J6" s="587">
        <f t="shared" ref="J6:J10" si="1">G6/H6</f>
        <v>51601.123472240972</v>
      </c>
      <c r="K6" s="225"/>
      <c r="L6" s="80"/>
      <c r="M6" s="80"/>
      <c r="N6" s="80"/>
    </row>
    <row r="7" spans="1:14" s="51" customFormat="1" ht="21.75" customHeight="1">
      <c r="A7" s="106">
        <v>203</v>
      </c>
      <c r="B7" s="456" t="s">
        <v>496</v>
      </c>
      <c r="C7" s="185">
        <v>662429568.20972192</v>
      </c>
      <c r="D7" s="185">
        <v>15990932.068331491</v>
      </c>
      <c r="E7" s="185">
        <v>86617501.530054808</v>
      </c>
      <c r="F7" s="185">
        <v>114115202.83009939</v>
      </c>
      <c r="G7" s="469">
        <f t="shared" si="0"/>
        <v>879153204.63820755</v>
      </c>
      <c r="H7" s="585">
        <v>77</v>
      </c>
      <c r="I7" s="586" t="s">
        <v>348</v>
      </c>
      <c r="J7" s="587">
        <f t="shared" si="1"/>
        <v>11417574.086210487</v>
      </c>
      <c r="K7" s="225"/>
      <c r="L7" s="80"/>
      <c r="M7" s="80"/>
      <c r="N7" s="80"/>
    </row>
    <row r="8" spans="1:14" s="51" customFormat="1" ht="21" customHeight="1">
      <c r="A8" s="106">
        <v>204</v>
      </c>
      <c r="B8" s="456" t="s">
        <v>497</v>
      </c>
      <c r="C8" s="185">
        <v>317528332.8478629</v>
      </c>
      <c r="D8" s="185">
        <v>7390819.5321648382</v>
      </c>
      <c r="E8" s="185">
        <v>42881478.653239302</v>
      </c>
      <c r="F8" s="185">
        <v>56862585.63624125</v>
      </c>
      <c r="G8" s="469">
        <f t="shared" si="0"/>
        <v>424663216.66950828</v>
      </c>
      <c r="H8" s="585">
        <v>77</v>
      </c>
      <c r="I8" s="586" t="s">
        <v>251</v>
      </c>
      <c r="J8" s="587">
        <f t="shared" si="1"/>
        <v>5515106.7099936139</v>
      </c>
      <c r="K8" s="225"/>
      <c r="L8" s="80"/>
      <c r="M8" s="80"/>
      <c r="N8" s="80"/>
    </row>
    <row r="9" spans="1:14" s="51" customFormat="1" ht="21" customHeight="1">
      <c r="A9" s="106">
        <v>205</v>
      </c>
      <c r="B9" s="457" t="s">
        <v>498</v>
      </c>
      <c r="C9" s="185">
        <v>315850864.15838003</v>
      </c>
      <c r="D9" s="185">
        <v>7213386.1185243614</v>
      </c>
      <c r="E9" s="185">
        <v>42710022.744681232</v>
      </c>
      <c r="F9" s="185">
        <v>56835448.578033946</v>
      </c>
      <c r="G9" s="469">
        <f t="shared" ref="G9" si="2">SUM(C9:F9)</f>
        <v>422609721.59961957</v>
      </c>
      <c r="H9" s="585">
        <v>77</v>
      </c>
      <c r="I9" s="586" t="s">
        <v>348</v>
      </c>
      <c r="J9" s="587">
        <f t="shared" ref="J9" si="3">G9/H9</f>
        <v>5488437.9428522019</v>
      </c>
      <c r="K9" s="225"/>
      <c r="L9" s="80"/>
      <c r="M9" s="80"/>
      <c r="N9" s="80"/>
    </row>
    <row r="10" spans="1:14" s="51" customFormat="1" ht="21" customHeight="1">
      <c r="A10" s="106">
        <v>206</v>
      </c>
      <c r="B10" s="456" t="s">
        <v>499</v>
      </c>
      <c r="C10" s="185">
        <v>2757672860.6886859</v>
      </c>
      <c r="D10" s="185">
        <v>78333217.112436831</v>
      </c>
      <c r="E10" s="185">
        <v>339082072.93136394</v>
      </c>
      <c r="F10" s="185">
        <v>444536928.06585211</v>
      </c>
      <c r="G10" s="469">
        <f t="shared" si="0"/>
        <v>3619625078.7983389</v>
      </c>
      <c r="H10" s="585">
        <v>6</v>
      </c>
      <c r="I10" s="586" t="s">
        <v>265</v>
      </c>
      <c r="J10" s="587">
        <f t="shared" si="1"/>
        <v>603270846.46638978</v>
      </c>
      <c r="K10" s="225"/>
      <c r="L10" s="80"/>
      <c r="M10" s="80"/>
      <c r="N10" s="80"/>
    </row>
    <row r="11" spans="1:14" s="51" customFormat="1" ht="21" customHeight="1">
      <c r="A11" s="106"/>
      <c r="B11" s="458" t="s">
        <v>433</v>
      </c>
      <c r="C11" s="185">
        <f>SUM(C5:C10)</f>
        <v>4291480895.5100002</v>
      </c>
      <c r="D11" s="185">
        <f t="shared" ref="D11:G11" si="4">SUM(D5:D10)</f>
        <v>150114579.25</v>
      </c>
      <c r="E11" s="185">
        <f t="shared" si="4"/>
        <v>518142129</v>
      </c>
      <c r="F11" s="185">
        <f t="shared" si="4"/>
        <v>1085339143.1900003</v>
      </c>
      <c r="G11" s="185">
        <f t="shared" si="4"/>
        <v>6045076746.9500008</v>
      </c>
      <c r="H11" s="585"/>
      <c r="I11" s="586"/>
      <c r="J11" s="587"/>
      <c r="K11" s="225"/>
      <c r="L11" s="80"/>
      <c r="M11" s="80"/>
      <c r="N11" s="80"/>
    </row>
    <row r="12" spans="1:14" s="51" customFormat="1" ht="21" customHeight="1">
      <c r="A12" s="107">
        <v>888</v>
      </c>
      <c r="B12" s="459" t="s">
        <v>432</v>
      </c>
      <c r="C12" s="185">
        <v>0</v>
      </c>
      <c r="D12" s="185">
        <v>207323913.97000003</v>
      </c>
      <c r="E12" s="185">
        <v>7970530696.6699991</v>
      </c>
      <c r="F12" s="185">
        <v>0</v>
      </c>
      <c r="G12" s="470">
        <f>SUM(C12:F12)</f>
        <v>8177854610.6399994</v>
      </c>
      <c r="H12" s="585">
        <v>77</v>
      </c>
      <c r="I12" s="588" t="s">
        <v>251</v>
      </c>
      <c r="J12" s="589">
        <f>G12/H12</f>
        <v>106205904.03428571</v>
      </c>
      <c r="K12" s="225"/>
      <c r="L12" s="80"/>
      <c r="M12" s="80"/>
      <c r="N12" s="80"/>
    </row>
    <row r="13" spans="1:14" ht="21" customHeight="1" thickBot="1">
      <c r="A13" s="351"/>
      <c r="B13" s="352" t="s">
        <v>350</v>
      </c>
      <c r="C13" s="353">
        <f>C11+C12</f>
        <v>4291480895.5100002</v>
      </c>
      <c r="D13" s="353">
        <f t="shared" ref="D13:G13" si="5">D11+D12</f>
        <v>357438493.22000003</v>
      </c>
      <c r="E13" s="353">
        <f t="shared" si="5"/>
        <v>8488672825.6699991</v>
      </c>
      <c r="F13" s="353">
        <f t="shared" si="5"/>
        <v>1085339143.1900003</v>
      </c>
      <c r="G13" s="353">
        <f t="shared" si="5"/>
        <v>14222931357.59</v>
      </c>
      <c r="H13" s="590"/>
      <c r="I13" s="591"/>
      <c r="J13" s="592"/>
      <c r="K13" s="225"/>
      <c r="L13" s="80"/>
      <c r="M13" s="80"/>
      <c r="N13" s="80"/>
    </row>
    <row r="14" spans="1:14" s="111" customFormat="1" ht="21" customHeight="1" thickTop="1">
      <c r="A14" s="220"/>
      <c r="C14" s="14"/>
      <c r="D14" s="14"/>
      <c r="E14" s="14"/>
      <c r="F14" s="14"/>
      <c r="G14" s="14"/>
      <c r="H14" s="593"/>
      <c r="I14" s="594"/>
      <c r="J14" s="83"/>
    </row>
    <row r="15" spans="1:14" s="111" customFormat="1" ht="21" customHeight="1">
      <c r="A15" s="220"/>
      <c r="C15" s="14"/>
      <c r="D15" s="14"/>
      <c r="E15" s="14"/>
      <c r="F15" s="14"/>
      <c r="G15" s="221"/>
      <c r="H15" s="593"/>
      <c r="I15" s="594"/>
      <c r="J15" s="83"/>
    </row>
    <row r="16" spans="1:14" s="111" customFormat="1" ht="21" customHeight="1">
      <c r="A16" s="220"/>
      <c r="C16" s="14"/>
      <c r="D16" s="14"/>
      <c r="E16" s="14"/>
      <c r="F16" s="14"/>
      <c r="G16" s="221"/>
      <c r="H16" s="593"/>
      <c r="I16" s="594"/>
      <c r="J16" s="83"/>
    </row>
    <row r="17" spans="1:10" s="111" customFormat="1" ht="21" customHeight="1">
      <c r="A17" s="220"/>
      <c r="C17" s="53"/>
      <c r="D17" s="53"/>
      <c r="E17" s="53"/>
      <c r="F17" s="53"/>
      <c r="G17" s="221"/>
      <c r="H17" s="593"/>
      <c r="I17" s="594"/>
      <c r="J17" s="83"/>
    </row>
    <row r="18" spans="1:10" s="111" customFormat="1" ht="21" customHeight="1">
      <c r="A18" s="220"/>
      <c r="C18" s="53"/>
      <c r="D18" s="53"/>
      <c r="E18" s="53"/>
      <c r="F18" s="53"/>
      <c r="G18" s="221"/>
      <c r="H18" s="593"/>
      <c r="I18" s="594"/>
      <c r="J18" s="83"/>
    </row>
    <row r="19" spans="1:10" ht="21" customHeight="1">
      <c r="G19" s="221"/>
    </row>
    <row r="20" spans="1:10" ht="21" customHeight="1">
      <c r="G20" s="221"/>
    </row>
    <row r="21" spans="1:10" ht="21" customHeight="1">
      <c r="G21" s="221"/>
    </row>
  </sheetData>
  <mergeCells count="2">
    <mergeCell ref="A1:J1"/>
    <mergeCell ref="A2:J2"/>
  </mergeCells>
  <pageMargins left="0.25" right="0.1574803149606299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0"/>
  <sheetViews>
    <sheetView view="pageBreakPreview" zoomScaleNormal="90" zoomScaleSheetLayoutView="100" workbookViewId="0">
      <pane xSplit="2" ySplit="3" topLeftCell="C4" activePane="bottomRight" state="frozen"/>
      <selection activeCell="K32" sqref="K32"/>
      <selection pane="topRight" activeCell="K32" sqref="K32"/>
      <selection pane="bottomLeft" activeCell="K32" sqref="K32"/>
      <selection pane="bottomRight" activeCell="H9" sqref="H9"/>
    </sheetView>
  </sheetViews>
  <sheetFormatPr defaultColWidth="8.85546875" defaultRowHeight="18.75"/>
  <cols>
    <col min="1" max="1" width="6.42578125" style="39" customWidth="1"/>
    <col min="2" max="2" width="49.28515625" style="46" customWidth="1"/>
    <col min="3" max="3" width="16.85546875" style="39" customWidth="1"/>
    <col min="4" max="4" width="16" style="39" customWidth="1"/>
    <col min="5" max="6" width="16.85546875" style="39" customWidth="1"/>
    <col min="7" max="7" width="17.85546875" style="39" customWidth="1"/>
    <col min="8" max="8" width="11.140625" style="39" customWidth="1"/>
    <col min="9" max="9" width="8" style="39" customWidth="1"/>
    <col min="10" max="10" width="14.85546875" style="39" customWidth="1"/>
    <col min="11" max="11" width="16" style="39" bestFit="1" customWidth="1"/>
    <col min="12" max="12" width="13.5703125" style="39" bestFit="1" customWidth="1"/>
    <col min="13" max="14" width="4.85546875" style="39" bestFit="1" customWidth="1"/>
    <col min="15" max="15" width="15.140625" style="39" customWidth="1"/>
    <col min="16" max="16384" width="8.85546875" style="39"/>
  </cols>
  <sheetData>
    <row r="1" spans="1:15" ht="21" customHeight="1">
      <c r="A1" s="794" t="s">
        <v>486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5" ht="21" customHeight="1">
      <c r="A2" s="794" t="s">
        <v>493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1:15" s="43" customFormat="1" ht="21" customHeight="1">
      <c r="A3" s="92" t="s">
        <v>10</v>
      </c>
      <c r="B3" s="93" t="s">
        <v>276</v>
      </c>
      <c r="C3" s="194" t="s">
        <v>11</v>
      </c>
      <c r="D3" s="194" t="s">
        <v>12</v>
      </c>
      <c r="E3" s="194" t="s">
        <v>0</v>
      </c>
      <c r="F3" s="194" t="s">
        <v>244</v>
      </c>
      <c r="G3" s="94" t="s">
        <v>245</v>
      </c>
      <c r="H3" s="94" t="s">
        <v>246</v>
      </c>
      <c r="I3" s="94" t="s">
        <v>247</v>
      </c>
      <c r="J3" s="94" t="s">
        <v>248</v>
      </c>
    </row>
    <row r="4" spans="1:15" s="83" customFormat="1" ht="21" customHeight="1">
      <c r="A4" s="62">
        <v>301</v>
      </c>
      <c r="B4" s="188" t="s">
        <v>500</v>
      </c>
      <c r="C4" s="251">
        <v>234095611.22943112</v>
      </c>
      <c r="D4" s="251">
        <v>41155564.156862617</v>
      </c>
      <c r="E4" s="251">
        <v>6824610.3114513382</v>
      </c>
      <c r="F4" s="251">
        <v>412976453.03921843</v>
      </c>
      <c r="G4" s="89">
        <f>SUM(C4:F4)</f>
        <v>695052238.73696351</v>
      </c>
      <c r="H4" s="595">
        <v>115</v>
      </c>
      <c r="I4" s="81" t="s">
        <v>278</v>
      </c>
      <c r="J4" s="82">
        <f>G4/H4</f>
        <v>6043932.5107562048</v>
      </c>
      <c r="K4" s="225"/>
      <c r="L4" s="80"/>
      <c r="M4" s="80"/>
      <c r="N4" s="80"/>
    </row>
    <row r="5" spans="1:15" s="83" customFormat="1" ht="21" customHeight="1">
      <c r="A5" s="62">
        <v>302</v>
      </c>
      <c r="B5" s="189" t="s">
        <v>501</v>
      </c>
      <c r="C5" s="251">
        <v>3903658.3759182608</v>
      </c>
      <c r="D5" s="251">
        <v>30660.261679858257</v>
      </c>
      <c r="E5" s="251">
        <v>26442.829209327909</v>
      </c>
      <c r="F5" s="251">
        <v>12525.040555107838</v>
      </c>
      <c r="G5" s="89">
        <f t="shared" ref="G5:G23" si="0">SUM(C5:F5)</f>
        <v>3973286.5073625548</v>
      </c>
      <c r="H5" s="595">
        <v>22</v>
      </c>
      <c r="I5" s="81" t="s">
        <v>546</v>
      </c>
      <c r="J5" s="82">
        <f t="shared" ref="J5:J23" si="1">G5/H5</f>
        <v>180603.93215284339</v>
      </c>
      <c r="K5" s="225"/>
      <c r="L5" s="80"/>
      <c r="M5" s="80"/>
      <c r="N5" s="80"/>
    </row>
    <row r="6" spans="1:15" s="83" customFormat="1" ht="21" customHeight="1">
      <c r="A6" s="62">
        <v>303</v>
      </c>
      <c r="B6" s="189" t="s">
        <v>502</v>
      </c>
      <c r="C6" s="251">
        <v>321053047.72258049</v>
      </c>
      <c r="D6" s="251">
        <v>7684602.7252416927</v>
      </c>
      <c r="E6" s="251">
        <v>43165364.665769853</v>
      </c>
      <c r="F6" s="251">
        <v>56907517.486715637</v>
      </c>
      <c r="G6" s="89">
        <f t="shared" si="0"/>
        <v>428810532.6003077</v>
      </c>
      <c r="H6" s="595">
        <v>76</v>
      </c>
      <c r="I6" s="81" t="s">
        <v>253</v>
      </c>
      <c r="J6" s="82">
        <f t="shared" si="1"/>
        <v>5642243.850004049</v>
      </c>
      <c r="K6" s="225"/>
      <c r="L6" s="80"/>
      <c r="M6" s="80"/>
      <c r="N6" s="80"/>
    </row>
    <row r="7" spans="1:15" s="83" customFormat="1" ht="21" customHeight="1">
      <c r="A7" s="62">
        <v>304</v>
      </c>
      <c r="B7" s="189" t="s">
        <v>503</v>
      </c>
      <c r="C7" s="251">
        <v>309196231.03224641</v>
      </c>
      <c r="D7" s="251">
        <v>6899241.7140461411</v>
      </c>
      <c r="E7" s="251">
        <v>42406461.463955499</v>
      </c>
      <c r="F7" s="251">
        <v>56787402.638912819</v>
      </c>
      <c r="G7" s="89">
        <f t="shared" si="0"/>
        <v>415289336.84916085</v>
      </c>
      <c r="H7" s="595">
        <v>76</v>
      </c>
      <c r="I7" s="81" t="s">
        <v>251</v>
      </c>
      <c r="J7" s="82">
        <f t="shared" si="1"/>
        <v>5464333.3795942217</v>
      </c>
      <c r="K7" s="225"/>
      <c r="L7" s="80"/>
      <c r="M7" s="80"/>
      <c r="N7" s="80"/>
    </row>
    <row r="8" spans="1:15" s="83" customFormat="1" ht="21" customHeight="1">
      <c r="A8" s="62">
        <v>305</v>
      </c>
      <c r="B8" s="190" t="s">
        <v>504</v>
      </c>
      <c r="C8" s="251">
        <v>32180289.454895031</v>
      </c>
      <c r="D8" s="251">
        <v>1407087.629043658</v>
      </c>
      <c r="E8" s="251">
        <v>1045675.4003294575</v>
      </c>
      <c r="F8" s="251">
        <v>420282.70447093027</v>
      </c>
      <c r="G8" s="89">
        <f t="shared" si="0"/>
        <v>35053335.188739076</v>
      </c>
      <c r="H8" s="595">
        <v>276</v>
      </c>
      <c r="I8" s="81" t="s">
        <v>253</v>
      </c>
      <c r="J8" s="82">
        <f t="shared" si="1"/>
        <v>127004.83764035898</v>
      </c>
      <c r="K8" s="225"/>
      <c r="L8" s="80"/>
      <c r="M8" s="80"/>
      <c r="N8" s="80"/>
      <c r="O8" s="84"/>
    </row>
    <row r="9" spans="1:15" s="83" customFormat="1" ht="21" customHeight="1">
      <c r="A9" s="62">
        <v>306</v>
      </c>
      <c r="B9" s="190" t="s">
        <v>505</v>
      </c>
      <c r="C9" s="251">
        <v>317528332.8478629</v>
      </c>
      <c r="D9" s="251">
        <v>7390819.5321648382</v>
      </c>
      <c r="E9" s="251">
        <v>42881478.653239302</v>
      </c>
      <c r="F9" s="251">
        <v>56862585.63624125</v>
      </c>
      <c r="G9" s="89">
        <f t="shared" si="0"/>
        <v>424663216.66950828</v>
      </c>
      <c r="H9" s="595">
        <v>76</v>
      </c>
      <c r="I9" s="81" t="s">
        <v>251</v>
      </c>
      <c r="J9" s="82">
        <f t="shared" si="1"/>
        <v>5587673.9035461619</v>
      </c>
      <c r="K9" s="225"/>
      <c r="L9" s="80"/>
      <c r="M9" s="80"/>
      <c r="N9" s="80"/>
    </row>
    <row r="10" spans="1:15" s="83" customFormat="1" ht="18.75" customHeight="1">
      <c r="A10" s="62">
        <v>307</v>
      </c>
      <c r="B10" s="189" t="s">
        <v>506</v>
      </c>
      <c r="C10" s="251">
        <v>315850864.15838003</v>
      </c>
      <c r="D10" s="251">
        <v>7213386.1185243614</v>
      </c>
      <c r="E10" s="251">
        <v>42710022.744681232</v>
      </c>
      <c r="F10" s="251">
        <v>56835448.578033946</v>
      </c>
      <c r="G10" s="89">
        <f t="shared" si="0"/>
        <v>422609721.59961957</v>
      </c>
      <c r="H10" s="595">
        <v>76</v>
      </c>
      <c r="I10" s="81" t="s">
        <v>251</v>
      </c>
      <c r="J10" s="82">
        <f t="shared" si="1"/>
        <v>5560654.2315739421</v>
      </c>
      <c r="K10" s="225"/>
      <c r="L10" s="80"/>
      <c r="M10" s="80"/>
      <c r="N10" s="80"/>
    </row>
    <row r="11" spans="1:15" s="83" customFormat="1" ht="21" customHeight="1">
      <c r="A11" s="62">
        <v>308</v>
      </c>
      <c r="B11" s="189" t="s">
        <v>507</v>
      </c>
      <c r="C11" s="251">
        <v>333339538.4733445</v>
      </c>
      <c r="D11" s="251">
        <v>7931427.5245710546</v>
      </c>
      <c r="E11" s="251">
        <v>49913110.992537044</v>
      </c>
      <c r="F11" s="251">
        <v>59035225.568165585</v>
      </c>
      <c r="G11" s="89">
        <f t="shared" si="0"/>
        <v>450219302.55861819</v>
      </c>
      <c r="H11" s="595">
        <v>31</v>
      </c>
      <c r="I11" s="83" t="s">
        <v>278</v>
      </c>
      <c r="J11" s="82">
        <f t="shared" si="1"/>
        <v>14523203.308342522</v>
      </c>
      <c r="K11" s="225"/>
      <c r="L11" s="80"/>
      <c r="M11" s="80"/>
      <c r="N11" s="80"/>
    </row>
    <row r="12" spans="1:15" s="83" customFormat="1" ht="21" customHeight="1">
      <c r="A12" s="62">
        <v>309</v>
      </c>
      <c r="B12" s="189" t="s">
        <v>508</v>
      </c>
      <c r="C12" s="251">
        <v>742372423.37396693</v>
      </c>
      <c r="D12" s="251">
        <v>15910727.062594289</v>
      </c>
      <c r="E12" s="251">
        <v>89503628.453093797</v>
      </c>
      <c r="F12" s="251">
        <v>117915077.41126353</v>
      </c>
      <c r="G12" s="89">
        <f t="shared" si="0"/>
        <v>965701856.30091858</v>
      </c>
      <c r="H12" s="595">
        <v>76</v>
      </c>
      <c r="I12" s="81" t="s">
        <v>251</v>
      </c>
      <c r="J12" s="82">
        <f t="shared" si="1"/>
        <v>12706603.372380508</v>
      </c>
      <c r="K12" s="225"/>
      <c r="L12" s="80"/>
      <c r="M12" s="80"/>
      <c r="N12" s="80"/>
    </row>
    <row r="13" spans="1:15" s="83" customFormat="1" ht="21" customHeight="1">
      <c r="A13" s="62">
        <v>310</v>
      </c>
      <c r="B13" s="189" t="s">
        <v>509</v>
      </c>
      <c r="C13" s="251">
        <v>96002800.526559412</v>
      </c>
      <c r="D13" s="251">
        <v>6272914.1389714861</v>
      </c>
      <c r="E13" s="251">
        <v>5733745.1170671852</v>
      </c>
      <c r="F13" s="251">
        <v>4523891.8130038744</v>
      </c>
      <c r="G13" s="89">
        <f t="shared" si="0"/>
        <v>112533351.59560196</v>
      </c>
      <c r="H13" s="595">
        <v>76</v>
      </c>
      <c r="I13" s="81" t="s">
        <v>251</v>
      </c>
      <c r="J13" s="82">
        <f t="shared" si="1"/>
        <v>1480701.9946789732</v>
      </c>
      <c r="K13" s="225"/>
      <c r="L13" s="80"/>
      <c r="M13" s="80"/>
      <c r="N13" s="80"/>
    </row>
    <row r="14" spans="1:15" s="83" customFormat="1" ht="21" customHeight="1">
      <c r="A14" s="62">
        <v>311</v>
      </c>
      <c r="B14" s="189" t="s">
        <v>510</v>
      </c>
      <c r="C14" s="251">
        <v>313486889.5270406</v>
      </c>
      <c r="D14" s="251">
        <v>6764439.2368241837</v>
      </c>
      <c r="E14" s="251">
        <v>43616437.049692892</v>
      </c>
      <c r="F14" s="251">
        <v>58856743.801726729</v>
      </c>
      <c r="G14" s="89">
        <f t="shared" si="0"/>
        <v>422724509.61528432</v>
      </c>
      <c r="H14" s="595">
        <v>115</v>
      </c>
      <c r="I14" s="81" t="s">
        <v>278</v>
      </c>
      <c r="J14" s="82">
        <f t="shared" si="1"/>
        <v>3675865.3010024722</v>
      </c>
      <c r="K14" s="225"/>
      <c r="L14" s="80"/>
      <c r="M14" s="80"/>
      <c r="N14" s="80"/>
    </row>
    <row r="15" spans="1:15" s="83" customFormat="1" ht="21" customHeight="1">
      <c r="A15" s="62">
        <v>312</v>
      </c>
      <c r="B15" s="189" t="s">
        <v>467</v>
      </c>
      <c r="C15" s="251">
        <v>46793275.685111046</v>
      </c>
      <c r="D15" s="251">
        <v>2097870.5953537486</v>
      </c>
      <c r="E15" s="251">
        <v>4299272.37814222</v>
      </c>
      <c r="F15" s="251">
        <v>4268165.9712620694</v>
      </c>
      <c r="G15" s="89">
        <f t="shared" si="0"/>
        <v>57458584.629869089</v>
      </c>
      <c r="H15" s="595">
        <v>150</v>
      </c>
      <c r="I15" s="81" t="s">
        <v>253</v>
      </c>
      <c r="J15" s="82">
        <f t="shared" si="1"/>
        <v>383057.23086579394</v>
      </c>
      <c r="K15" s="225"/>
      <c r="L15" s="80"/>
      <c r="M15" s="80"/>
      <c r="N15" s="80"/>
    </row>
    <row r="16" spans="1:15" s="83" customFormat="1" ht="21" customHeight="1">
      <c r="A16" s="62">
        <v>313</v>
      </c>
      <c r="B16" s="189" t="s">
        <v>266</v>
      </c>
      <c r="C16" s="251">
        <v>1057681865.4176046</v>
      </c>
      <c r="D16" s="251">
        <v>30369312.548741311</v>
      </c>
      <c r="E16" s="251">
        <v>137935143.42528453</v>
      </c>
      <c r="F16" s="251">
        <v>198169545.07005739</v>
      </c>
      <c r="G16" s="89">
        <f t="shared" si="0"/>
        <v>1424155866.4616878</v>
      </c>
      <c r="H16" s="595">
        <v>145</v>
      </c>
      <c r="I16" s="81" t="s">
        <v>278</v>
      </c>
      <c r="J16" s="82">
        <f t="shared" si="1"/>
        <v>9821764.596287502</v>
      </c>
      <c r="K16" s="225"/>
      <c r="L16" s="80"/>
      <c r="M16" s="80"/>
      <c r="N16" s="80"/>
    </row>
    <row r="17" spans="1:14" s="83" customFormat="1" ht="21" customHeight="1">
      <c r="A17" s="62">
        <v>314</v>
      </c>
      <c r="B17" s="189" t="s">
        <v>511</v>
      </c>
      <c r="C17" s="251">
        <v>15663643.322581451</v>
      </c>
      <c r="D17" s="251">
        <v>998895.4732218947</v>
      </c>
      <c r="E17" s="251">
        <v>883150.95338070637</v>
      </c>
      <c r="F17" s="251">
        <v>566989.54202196433</v>
      </c>
      <c r="G17" s="89">
        <f t="shared" si="0"/>
        <v>18112679.291206017</v>
      </c>
      <c r="H17" s="595">
        <v>89</v>
      </c>
      <c r="I17" s="81" t="s">
        <v>278</v>
      </c>
      <c r="J17" s="82">
        <f t="shared" si="1"/>
        <v>203513.25046298894</v>
      </c>
      <c r="K17" s="225"/>
      <c r="L17" s="80"/>
      <c r="M17" s="80"/>
      <c r="N17" s="80"/>
    </row>
    <row r="18" spans="1:14" s="83" customFormat="1" ht="21" customHeight="1">
      <c r="A18" s="62">
        <v>315</v>
      </c>
      <c r="B18" s="189" t="s">
        <v>512</v>
      </c>
      <c r="C18" s="251">
        <v>3894184.6060994477</v>
      </c>
      <c r="D18" s="251">
        <v>156343.06989373977</v>
      </c>
      <c r="E18" s="251">
        <v>116186.15559216196</v>
      </c>
      <c r="F18" s="251">
        <v>46698.078274547814</v>
      </c>
      <c r="G18" s="89">
        <f t="shared" si="0"/>
        <v>4213411.9098598976</v>
      </c>
      <c r="H18" s="595">
        <v>270</v>
      </c>
      <c r="I18" s="81" t="s">
        <v>482</v>
      </c>
      <c r="J18" s="82">
        <f t="shared" si="1"/>
        <v>15605.229295777399</v>
      </c>
      <c r="K18" s="225"/>
      <c r="L18" s="80"/>
      <c r="M18" s="80"/>
      <c r="N18" s="80"/>
    </row>
    <row r="19" spans="1:14" s="83" customFormat="1" ht="21" customHeight="1">
      <c r="A19" s="62">
        <v>316</v>
      </c>
      <c r="B19" s="189" t="s">
        <v>513</v>
      </c>
      <c r="C19" s="251">
        <v>24401132.557304252</v>
      </c>
      <c r="D19" s="251">
        <v>1278586.2157240254</v>
      </c>
      <c r="E19" s="251">
        <v>1266671.8803273044</v>
      </c>
      <c r="F19" s="251">
        <v>119765.3657881137</v>
      </c>
      <c r="G19" s="89">
        <f t="shared" si="0"/>
        <v>27066156.019143693</v>
      </c>
      <c r="H19" s="595">
        <v>2200</v>
      </c>
      <c r="I19" s="81" t="s">
        <v>250</v>
      </c>
      <c r="J19" s="82">
        <f t="shared" si="1"/>
        <v>12302.798190519861</v>
      </c>
      <c r="K19" s="225"/>
      <c r="L19" s="80"/>
      <c r="M19" s="80"/>
      <c r="N19" s="80"/>
    </row>
    <row r="20" spans="1:14" s="83" customFormat="1" ht="21" customHeight="1">
      <c r="A20" s="62">
        <v>317</v>
      </c>
      <c r="B20" s="189" t="s">
        <v>514</v>
      </c>
      <c r="C20" s="251">
        <v>39298678.527304254</v>
      </c>
      <c r="D20" s="251">
        <v>1336080.3057240252</v>
      </c>
      <c r="E20" s="251">
        <v>1327798.1503273044</v>
      </c>
      <c r="F20" s="251">
        <v>94750.645788113674</v>
      </c>
      <c r="G20" s="89">
        <f t="shared" si="0"/>
        <v>42057307.629143693</v>
      </c>
      <c r="H20" s="595">
        <v>1600</v>
      </c>
      <c r="I20" s="596" t="s">
        <v>274</v>
      </c>
      <c r="J20" s="82">
        <f t="shared" si="1"/>
        <v>26285.817268214807</v>
      </c>
      <c r="K20" s="225"/>
      <c r="L20" s="80"/>
      <c r="M20" s="80"/>
      <c r="N20" s="80"/>
    </row>
    <row r="21" spans="1:14" s="83" customFormat="1" ht="21" customHeight="1">
      <c r="A21" s="62">
        <v>318</v>
      </c>
      <c r="B21" s="191" t="s">
        <v>515</v>
      </c>
      <c r="C21" s="251">
        <v>11373915.522065157</v>
      </c>
      <c r="D21" s="251">
        <v>799116.37857751572</v>
      </c>
      <c r="E21" s="251">
        <v>774395.26270456496</v>
      </c>
      <c r="F21" s="251">
        <v>17791.653617571057</v>
      </c>
      <c r="G21" s="89">
        <f t="shared" si="0"/>
        <v>12965218.816964807</v>
      </c>
      <c r="H21" s="595">
        <v>4400</v>
      </c>
      <c r="I21" s="597" t="s">
        <v>250</v>
      </c>
      <c r="J21" s="82">
        <f t="shared" si="1"/>
        <v>2946.6406402192742</v>
      </c>
      <c r="K21" s="225"/>
      <c r="L21" s="80"/>
      <c r="M21" s="80"/>
      <c r="N21" s="80"/>
    </row>
    <row r="22" spans="1:14" s="83" customFormat="1" ht="21" customHeight="1">
      <c r="A22" s="62">
        <v>319</v>
      </c>
      <c r="B22" s="192" t="s">
        <v>516</v>
      </c>
      <c r="C22" s="251">
        <v>41717636.724608496</v>
      </c>
      <c r="D22" s="251">
        <v>2577888.8614480505</v>
      </c>
      <c r="E22" s="251">
        <v>2125963.3606546088</v>
      </c>
      <c r="F22" s="251">
        <v>170780.71157622739</v>
      </c>
      <c r="G22" s="89">
        <f t="shared" si="0"/>
        <v>46592269.658287384</v>
      </c>
      <c r="H22" s="595">
        <v>54</v>
      </c>
      <c r="I22" s="597" t="s">
        <v>253</v>
      </c>
      <c r="J22" s="82">
        <f t="shared" si="1"/>
        <v>862819.80848680343</v>
      </c>
      <c r="K22" s="225"/>
      <c r="L22" s="80"/>
      <c r="M22" s="80"/>
      <c r="N22" s="80"/>
    </row>
    <row r="23" spans="1:14" s="83" customFormat="1" ht="21" customHeight="1">
      <c r="A23" s="462">
        <v>320</v>
      </c>
      <c r="B23" s="192" t="s">
        <v>517</v>
      </c>
      <c r="C23" s="185">
        <v>31646876.425095674</v>
      </c>
      <c r="D23" s="185">
        <v>1839615.7007914954</v>
      </c>
      <c r="E23" s="185">
        <v>1586569.7525596744</v>
      </c>
      <c r="F23" s="185">
        <v>751502.4333064704</v>
      </c>
      <c r="G23" s="89">
        <f t="shared" si="0"/>
        <v>35824564.311753318</v>
      </c>
      <c r="H23" s="598">
        <v>5</v>
      </c>
      <c r="I23" s="599" t="s">
        <v>547</v>
      </c>
      <c r="J23" s="82">
        <f t="shared" si="1"/>
        <v>7164912.8623506632</v>
      </c>
      <c r="K23" s="225"/>
      <c r="L23" s="80"/>
      <c r="M23" s="80"/>
      <c r="N23" s="80"/>
    </row>
    <row r="24" spans="1:14" s="83" customFormat="1" ht="21" customHeight="1">
      <c r="A24" s="204"/>
      <c r="B24" s="205" t="s">
        <v>349</v>
      </c>
      <c r="C24" s="206">
        <f>SUM(C4:C23)</f>
        <v>4291480895.5099998</v>
      </c>
      <c r="D24" s="206">
        <f t="shared" ref="D24:F24" si="2">SUM(D4:D23)</f>
        <v>150114579.25000003</v>
      </c>
      <c r="E24" s="206">
        <f t="shared" si="2"/>
        <v>518142128.99999994</v>
      </c>
      <c r="F24" s="206">
        <f t="shared" si="2"/>
        <v>1085339143.1900005</v>
      </c>
      <c r="G24" s="206">
        <f>SUM(G4:G23)</f>
        <v>6045076746.9500008</v>
      </c>
      <c r="H24" s="600"/>
      <c r="I24" s="601"/>
      <c r="J24" s="207"/>
      <c r="K24" s="225"/>
      <c r="L24" s="80"/>
      <c r="M24" s="80"/>
      <c r="N24" s="80"/>
    </row>
    <row r="25" spans="1:14" s="83" customFormat="1" ht="21" customHeight="1">
      <c r="A25" s="208">
        <v>888</v>
      </c>
      <c r="B25" s="209" t="s">
        <v>432</v>
      </c>
      <c r="C25" s="372">
        <v>0</v>
      </c>
      <c r="D25" s="372">
        <v>207323913.97000003</v>
      </c>
      <c r="E25" s="372">
        <v>7970530696.6699991</v>
      </c>
      <c r="F25" s="372">
        <v>0</v>
      </c>
      <c r="G25" s="210">
        <f>SUM(C25:F25)</f>
        <v>8177854610.6399994</v>
      </c>
      <c r="H25" s="602">
        <v>77</v>
      </c>
      <c r="I25" s="602" t="s">
        <v>251</v>
      </c>
      <c r="J25" s="211">
        <f>G25/H25</f>
        <v>106205904.03428571</v>
      </c>
      <c r="K25" s="225"/>
      <c r="L25" s="80"/>
      <c r="M25" s="80"/>
      <c r="N25" s="80"/>
    </row>
    <row r="26" spans="1:14" s="91" customFormat="1" ht="21" customHeight="1" thickBot="1">
      <c r="A26" s="90"/>
      <c r="B26" s="193" t="s">
        <v>350</v>
      </c>
      <c r="C26" s="254">
        <f>C24+C25</f>
        <v>4291480895.5099998</v>
      </c>
      <c r="D26" s="254">
        <f t="shared" ref="D26:F26" si="3">D24+D25</f>
        <v>357438493.22000003</v>
      </c>
      <c r="E26" s="254">
        <f t="shared" si="3"/>
        <v>8488672825.6699991</v>
      </c>
      <c r="F26" s="254">
        <f t="shared" si="3"/>
        <v>1085339143.1900005</v>
      </c>
      <c r="G26" s="255">
        <f>G24+G25</f>
        <v>14222931357.59</v>
      </c>
      <c r="H26" s="603"/>
      <c r="I26" s="603"/>
      <c r="J26" s="96"/>
      <c r="K26" s="225"/>
      <c r="L26" s="80"/>
      <c r="M26" s="80"/>
      <c r="N26" s="80"/>
    </row>
    <row r="27" spans="1:14" ht="21" customHeight="1" thickTop="1">
      <c r="A27" s="48"/>
      <c r="C27" s="45"/>
      <c r="D27" s="45"/>
      <c r="E27" s="45"/>
      <c r="F27" s="45"/>
      <c r="G27" s="45"/>
      <c r="H27" s="48"/>
      <c r="I27" s="48"/>
    </row>
    <row r="28" spans="1:14" ht="21">
      <c r="C28" s="215"/>
      <c r="D28" s="215"/>
      <c r="E28" s="215"/>
      <c r="F28" s="215"/>
      <c r="G28" s="216"/>
      <c r="H28" s="604"/>
      <c r="I28" s="604"/>
    </row>
    <row r="29" spans="1:14" s="78" customFormat="1">
      <c r="B29" s="79"/>
      <c r="C29" s="215"/>
      <c r="D29" s="215"/>
      <c r="E29" s="215"/>
      <c r="F29" s="215"/>
      <c r="G29" s="215"/>
      <c r="H29" s="39"/>
      <c r="I29" s="39"/>
      <c r="J29" s="39"/>
    </row>
    <row r="30" spans="1:14">
      <c r="C30" s="47"/>
      <c r="D30" s="47"/>
      <c r="E30" s="47"/>
      <c r="F30" s="47"/>
      <c r="G30" s="47"/>
    </row>
  </sheetData>
  <mergeCells count="2">
    <mergeCell ref="A1:J1"/>
    <mergeCell ref="A2:J2"/>
  </mergeCells>
  <pageMargins left="0.28999999999999998" right="0.15748031496062992" top="0.52" bottom="0.4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"/>
  <sheetViews>
    <sheetView view="pageBreakPreview" zoomScale="90" zoomScaleSheetLayoutView="90" workbookViewId="0">
      <pane xSplit="2" ySplit="4" topLeftCell="C5" activePane="bottomRight" state="frozen"/>
      <selection activeCell="K32" sqref="K32"/>
      <selection pane="topRight" activeCell="K32" sqref="K32"/>
      <selection pane="bottomLeft" activeCell="K32" sqref="K32"/>
      <selection pane="bottomRight" activeCell="B8" sqref="B8"/>
    </sheetView>
  </sheetViews>
  <sheetFormatPr defaultColWidth="8.85546875" defaultRowHeight="13.5"/>
  <cols>
    <col min="1" max="1" width="6.42578125" style="21" customWidth="1"/>
    <col min="2" max="2" width="61.5703125" style="21" customWidth="1"/>
    <col min="3" max="3" width="16.85546875" style="21" customWidth="1"/>
    <col min="4" max="4" width="16.28515625" style="21" customWidth="1"/>
    <col min="5" max="5" width="17.42578125" style="21" customWidth="1"/>
    <col min="6" max="6" width="15.5703125" style="21" customWidth="1"/>
    <col min="7" max="7" width="17.5703125" style="21" customWidth="1"/>
    <col min="8" max="9" width="7.85546875" style="609" customWidth="1"/>
    <col min="10" max="10" width="14.85546875" style="609" customWidth="1"/>
    <col min="11" max="11" width="16" style="21" bestFit="1" customWidth="1"/>
    <col min="12" max="12" width="14.5703125" style="21" bestFit="1" customWidth="1"/>
    <col min="13" max="14" width="4.7109375" style="21" bestFit="1" customWidth="1"/>
    <col min="15" max="16384" width="8.85546875" style="21"/>
  </cols>
  <sheetData>
    <row r="1" spans="1:14" s="19" customFormat="1" ht="21" customHeight="1">
      <c r="A1" s="795" t="s">
        <v>267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4" s="19" customFormat="1" ht="21" customHeight="1">
      <c r="A2" s="795" t="s">
        <v>493</v>
      </c>
      <c r="B2" s="795"/>
      <c r="C2" s="795"/>
      <c r="D2" s="795"/>
      <c r="E2" s="795"/>
      <c r="F2" s="795"/>
      <c r="G2" s="795"/>
      <c r="H2" s="795"/>
      <c r="I2" s="795"/>
      <c r="J2" s="795"/>
    </row>
    <row r="3" spans="1:14" s="19" customFormat="1" ht="21" customHeight="1">
      <c r="A3" s="18"/>
      <c r="C3" s="20"/>
      <c r="D3" s="20"/>
      <c r="E3" s="20"/>
      <c r="F3" s="20"/>
      <c r="H3" s="605"/>
      <c r="I3" s="605"/>
      <c r="J3" s="606"/>
    </row>
    <row r="4" spans="1:14" s="49" customFormat="1" ht="21" customHeight="1">
      <c r="A4" s="99" t="s">
        <v>10</v>
      </c>
      <c r="B4" s="463" t="s">
        <v>265</v>
      </c>
      <c r="C4" s="77" t="s">
        <v>11</v>
      </c>
      <c r="D4" s="77" t="s">
        <v>12</v>
      </c>
      <c r="E4" s="77" t="s">
        <v>0</v>
      </c>
      <c r="F4" s="77" t="s">
        <v>244</v>
      </c>
      <c r="G4" s="100" t="s">
        <v>245</v>
      </c>
      <c r="H4" s="607" t="s">
        <v>246</v>
      </c>
      <c r="I4" s="607" t="s">
        <v>247</v>
      </c>
      <c r="J4" s="607" t="s">
        <v>248</v>
      </c>
      <c r="K4" s="101"/>
    </row>
    <row r="5" spans="1:14" s="51" customFormat="1" ht="21" customHeight="1">
      <c r="A5" s="105">
        <v>401</v>
      </c>
      <c r="B5" s="464" t="s">
        <v>469</v>
      </c>
      <c r="C5" s="112">
        <v>234095611.22943112</v>
      </c>
      <c r="D5" s="112">
        <v>41155564.156862617</v>
      </c>
      <c r="E5" s="112">
        <v>6824610.3114513382</v>
      </c>
      <c r="F5" s="112">
        <v>412976453.03921843</v>
      </c>
      <c r="G5" s="196">
        <f>SUM(C5:F5)</f>
        <v>695052238.73696351</v>
      </c>
      <c r="H5" s="582">
        <v>115</v>
      </c>
      <c r="I5" s="583" t="s">
        <v>278</v>
      </c>
      <c r="J5" s="348">
        <f>G5/H5</f>
        <v>6043932.5107562048</v>
      </c>
      <c r="K5" s="225"/>
      <c r="L5" s="80"/>
      <c r="M5" s="80"/>
      <c r="N5" s="80"/>
    </row>
    <row r="6" spans="1:14" s="51" customFormat="1" ht="21" customHeight="1">
      <c r="A6" s="106">
        <v>402</v>
      </c>
      <c r="B6" s="610" t="s">
        <v>471</v>
      </c>
      <c r="C6" s="112">
        <v>3903658.3759182608</v>
      </c>
      <c r="D6" s="112">
        <v>30660.261679858257</v>
      </c>
      <c r="E6" s="112">
        <v>26442.829209327909</v>
      </c>
      <c r="F6" s="112">
        <v>12525.040555107838</v>
      </c>
      <c r="G6" s="196">
        <f t="shared" ref="G6:G12" si="0">SUM(C6:F6)</f>
        <v>3973286.5073625548</v>
      </c>
      <c r="H6" s="585">
        <v>77</v>
      </c>
      <c r="I6" s="586" t="s">
        <v>251</v>
      </c>
      <c r="J6" s="608">
        <f t="shared" ref="J6:J10" si="1">G6/H6</f>
        <v>51601.123472240972</v>
      </c>
      <c r="K6" s="225"/>
      <c r="L6" s="80"/>
      <c r="M6" s="80"/>
      <c r="N6" s="80"/>
    </row>
    <row r="7" spans="1:14" s="51" customFormat="1" ht="21" customHeight="1">
      <c r="A7" s="106">
        <v>403</v>
      </c>
      <c r="B7" s="464" t="s">
        <v>472</v>
      </c>
      <c r="C7" s="112">
        <v>662429568.20972192</v>
      </c>
      <c r="D7" s="112">
        <v>15990932.068331491</v>
      </c>
      <c r="E7" s="112">
        <v>86617501.530054808</v>
      </c>
      <c r="F7" s="112">
        <v>114115202.83009939</v>
      </c>
      <c r="G7" s="196">
        <f t="shared" si="0"/>
        <v>879153204.63820755</v>
      </c>
      <c r="H7" s="585">
        <v>77</v>
      </c>
      <c r="I7" s="586" t="s">
        <v>348</v>
      </c>
      <c r="J7" s="608">
        <f t="shared" si="1"/>
        <v>11417574.086210487</v>
      </c>
      <c r="K7" s="225"/>
      <c r="L7" s="80"/>
      <c r="M7" s="80"/>
      <c r="N7" s="80"/>
    </row>
    <row r="8" spans="1:14" s="51" customFormat="1" ht="21" customHeight="1">
      <c r="A8" s="106">
        <v>404</v>
      </c>
      <c r="B8" s="465" t="s">
        <v>343</v>
      </c>
      <c r="C8" s="112">
        <v>317528332.8478629</v>
      </c>
      <c r="D8" s="112">
        <v>7390819.5321648382</v>
      </c>
      <c r="E8" s="112">
        <v>42881478.653239302</v>
      </c>
      <c r="F8" s="112">
        <v>56862585.63624125</v>
      </c>
      <c r="G8" s="196">
        <f t="shared" si="0"/>
        <v>424663216.66950828</v>
      </c>
      <c r="H8" s="585">
        <v>77</v>
      </c>
      <c r="I8" s="586" t="s">
        <v>251</v>
      </c>
      <c r="J8" s="608">
        <f t="shared" si="1"/>
        <v>5515106.7099936139</v>
      </c>
      <c r="K8" s="225"/>
      <c r="L8" s="80"/>
      <c r="M8" s="80"/>
      <c r="N8" s="80"/>
    </row>
    <row r="9" spans="1:14" s="51" customFormat="1" ht="21" customHeight="1">
      <c r="A9" s="106">
        <v>405</v>
      </c>
      <c r="B9" s="464" t="s">
        <v>470</v>
      </c>
      <c r="C9" s="112">
        <v>315850864.15838003</v>
      </c>
      <c r="D9" s="112">
        <v>7213386.1185243614</v>
      </c>
      <c r="E9" s="112">
        <v>42710022.744681232</v>
      </c>
      <c r="F9" s="112">
        <v>56835448.578033946</v>
      </c>
      <c r="G9" s="196">
        <f t="shared" si="0"/>
        <v>422609721.59961957</v>
      </c>
      <c r="H9" s="585">
        <v>77</v>
      </c>
      <c r="I9" s="586" t="s">
        <v>348</v>
      </c>
      <c r="J9" s="608">
        <f t="shared" ref="J9" si="2">G9/H9</f>
        <v>5488437.9428522019</v>
      </c>
      <c r="K9" s="225"/>
      <c r="L9" s="80"/>
      <c r="M9" s="80"/>
      <c r="N9" s="80"/>
    </row>
    <row r="10" spans="1:14" s="51" customFormat="1" ht="21" customHeight="1">
      <c r="A10" s="106">
        <v>406</v>
      </c>
      <c r="B10" s="464" t="s">
        <v>344</v>
      </c>
      <c r="C10" s="112">
        <v>2757672860.6886859</v>
      </c>
      <c r="D10" s="112">
        <v>78333217.112436831</v>
      </c>
      <c r="E10" s="112">
        <v>339082072.93136394</v>
      </c>
      <c r="F10" s="112">
        <v>444536928.06585211</v>
      </c>
      <c r="G10" s="196">
        <f t="shared" si="0"/>
        <v>3619625078.7983389</v>
      </c>
      <c r="H10" s="585">
        <v>6</v>
      </c>
      <c r="I10" s="586" t="s">
        <v>265</v>
      </c>
      <c r="J10" s="608">
        <f t="shared" si="1"/>
        <v>603270846.46638978</v>
      </c>
      <c r="K10" s="225"/>
      <c r="L10" s="80"/>
      <c r="M10" s="80"/>
      <c r="N10" s="80"/>
    </row>
    <row r="11" spans="1:14" s="51" customFormat="1" ht="21" customHeight="1">
      <c r="A11" s="106"/>
      <c r="B11" s="98" t="s">
        <v>468</v>
      </c>
      <c r="C11" s="185">
        <v>4291480895.5099983</v>
      </c>
      <c r="D11" s="185">
        <v>150114579.25000006</v>
      </c>
      <c r="E11" s="185">
        <v>518142128.99999964</v>
      </c>
      <c r="F11" s="185">
        <v>1085339143.1900005</v>
      </c>
      <c r="G11" s="196">
        <f t="shared" si="0"/>
        <v>6045076746.9499989</v>
      </c>
      <c r="H11" s="585"/>
      <c r="I11" s="586"/>
      <c r="J11" s="608"/>
      <c r="K11" s="225"/>
      <c r="L11" s="80"/>
      <c r="M11" s="80"/>
      <c r="N11" s="80"/>
    </row>
    <row r="12" spans="1:14" s="51" customFormat="1" ht="21" customHeight="1">
      <c r="A12" s="107">
        <v>888</v>
      </c>
      <c r="B12" s="104" t="s">
        <v>432</v>
      </c>
      <c r="C12" s="112">
        <v>0</v>
      </c>
      <c r="D12" s="112">
        <v>207323913.97000003</v>
      </c>
      <c r="E12" s="112">
        <v>7970530696.6699991</v>
      </c>
      <c r="F12" s="112">
        <v>0</v>
      </c>
      <c r="G12" s="196">
        <f t="shared" si="0"/>
        <v>8177854610.6399994</v>
      </c>
      <c r="H12" s="585">
        <v>77</v>
      </c>
      <c r="I12" s="588" t="s">
        <v>251</v>
      </c>
      <c r="J12" s="589">
        <f>G12/H12</f>
        <v>106205904.03428571</v>
      </c>
      <c r="K12" s="225"/>
      <c r="L12" s="80"/>
      <c r="M12" s="80"/>
      <c r="N12" s="80"/>
    </row>
    <row r="13" spans="1:14" s="11" customFormat="1" ht="21" customHeight="1" thickBot="1">
      <c r="A13" s="354"/>
      <c r="B13" s="355" t="s">
        <v>350</v>
      </c>
      <c r="C13" s="353">
        <f>C11+C12</f>
        <v>4291480895.5099983</v>
      </c>
      <c r="D13" s="353">
        <f t="shared" ref="D13:F13" si="3">D11+D12</f>
        <v>357438493.22000009</v>
      </c>
      <c r="E13" s="353">
        <f t="shared" si="3"/>
        <v>8488672825.6699991</v>
      </c>
      <c r="F13" s="353">
        <f t="shared" si="3"/>
        <v>1085339143.1900005</v>
      </c>
      <c r="G13" s="353">
        <f>SUM(C13:F13)</f>
        <v>14222931357.589998</v>
      </c>
      <c r="H13" s="591"/>
      <c r="I13" s="591"/>
      <c r="J13" s="592"/>
      <c r="K13" s="225"/>
      <c r="L13" s="80"/>
      <c r="M13" s="80"/>
      <c r="N13" s="80"/>
    </row>
    <row r="14" spans="1:14" ht="14.25" thickTop="1"/>
    <row r="15" spans="1:14" ht="21">
      <c r="C15" s="215"/>
      <c r="D15" s="215"/>
      <c r="E15" s="215"/>
      <c r="F15" s="215"/>
      <c r="G15" s="216"/>
    </row>
    <row r="16" spans="1:14" ht="18.75">
      <c r="C16" s="215"/>
      <c r="D16" s="215"/>
      <c r="E16" s="215"/>
      <c r="F16" s="215"/>
      <c r="G16" s="215"/>
    </row>
    <row r="21" spans="5:5">
      <c r="E21" s="180"/>
    </row>
  </sheetData>
  <mergeCells count="2">
    <mergeCell ref="A1:J1"/>
    <mergeCell ref="A2:J2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88"/>
  <sheetViews>
    <sheetView view="pageBreakPreview" zoomScale="80" zoomScaleSheetLayoutView="80" workbookViewId="0">
      <pane xSplit="2" ySplit="5" topLeftCell="M51" activePane="bottomRight" state="frozen"/>
      <selection pane="topRight" activeCell="E1" sqref="E1"/>
      <selection pane="bottomLeft" activeCell="A6" sqref="A6"/>
      <selection pane="bottomRight" activeCell="F14" sqref="F14"/>
    </sheetView>
  </sheetViews>
  <sheetFormatPr defaultColWidth="9.140625" defaultRowHeight="18.75"/>
  <cols>
    <col min="1" max="1" width="5.85546875" style="539" customWidth="1"/>
    <col min="2" max="2" width="57.28515625" style="475" customWidth="1"/>
    <col min="3" max="3" width="16.28515625" style="540" customWidth="1"/>
    <col min="4" max="4" width="14.85546875" style="475" customWidth="1"/>
    <col min="5" max="5" width="16" style="475" customWidth="1"/>
    <col min="6" max="6" width="16.28515625" style="475" customWidth="1"/>
    <col min="7" max="7" width="16.140625" style="475" customWidth="1"/>
    <col min="8" max="8" width="9.7109375" style="541" customWidth="1"/>
    <col min="9" max="9" width="9.5703125" style="542" customWidth="1"/>
    <col min="10" max="10" width="13.7109375" style="541" customWidth="1"/>
    <col min="11" max="11" width="16.140625" style="651" customWidth="1"/>
    <col min="12" max="12" width="15.28515625" style="651" customWidth="1"/>
    <col min="13" max="13" width="16.140625" style="651" customWidth="1"/>
    <col min="14" max="14" width="16.5703125" style="651" customWidth="1"/>
    <col min="15" max="15" width="17.42578125" style="651" customWidth="1"/>
    <col min="16" max="16" width="9.42578125" style="83" customWidth="1"/>
    <col min="17" max="17" width="10.5703125" style="182" customWidth="1"/>
    <col min="18" max="18" width="14.5703125" style="83" customWidth="1"/>
    <col min="19" max="19" width="11.5703125" style="543" customWidth="1"/>
    <col min="20" max="20" width="9.140625" style="475" customWidth="1"/>
    <col min="21" max="21" width="9.85546875" style="475" customWidth="1"/>
    <col min="22" max="22" width="9.140625" style="475"/>
    <col min="23" max="23" width="14.42578125" style="475" bestFit="1" customWidth="1"/>
    <col min="24" max="16384" width="9.140625" style="475"/>
  </cols>
  <sheetData>
    <row r="1" spans="1:256" ht="23.25">
      <c r="A1" s="797" t="s">
        <v>268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474"/>
      <c r="BU1" s="474"/>
      <c r="BV1" s="474"/>
      <c r="BW1" s="474"/>
      <c r="BX1" s="474"/>
      <c r="BY1" s="474"/>
      <c r="BZ1" s="474"/>
      <c r="CA1" s="474"/>
      <c r="CB1" s="474"/>
      <c r="CC1" s="474"/>
      <c r="CD1" s="474"/>
      <c r="CE1" s="474"/>
      <c r="CF1" s="474"/>
      <c r="CG1" s="474"/>
      <c r="CH1" s="474"/>
      <c r="CI1" s="474"/>
      <c r="CJ1" s="474"/>
      <c r="CK1" s="474"/>
      <c r="CL1" s="474"/>
      <c r="CM1" s="474"/>
      <c r="CN1" s="474"/>
      <c r="CO1" s="474"/>
      <c r="CP1" s="474"/>
      <c r="CQ1" s="474"/>
      <c r="CR1" s="474"/>
      <c r="CS1" s="474"/>
      <c r="CT1" s="474"/>
      <c r="CU1" s="474"/>
      <c r="CV1" s="474"/>
      <c r="CW1" s="474"/>
      <c r="CX1" s="474"/>
      <c r="CY1" s="474"/>
      <c r="CZ1" s="474"/>
      <c r="DA1" s="474"/>
      <c r="DB1" s="474"/>
      <c r="DC1" s="474"/>
      <c r="DD1" s="474"/>
      <c r="DE1" s="474"/>
      <c r="DF1" s="474"/>
      <c r="DG1" s="474"/>
      <c r="DH1" s="474"/>
      <c r="DI1" s="474"/>
      <c r="DJ1" s="474"/>
      <c r="DK1" s="474"/>
      <c r="DL1" s="474"/>
      <c r="DM1" s="474"/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  <c r="ER1" s="474"/>
      <c r="ES1" s="474"/>
      <c r="ET1" s="474"/>
      <c r="EU1" s="474"/>
      <c r="EV1" s="474"/>
      <c r="EW1" s="474"/>
      <c r="EX1" s="474"/>
      <c r="EY1" s="474"/>
      <c r="EZ1" s="474"/>
      <c r="FA1" s="474"/>
      <c r="FB1" s="474"/>
      <c r="FC1" s="474"/>
      <c r="FD1" s="474"/>
      <c r="FE1" s="474"/>
      <c r="FF1" s="474"/>
      <c r="FG1" s="474"/>
      <c r="FH1" s="474"/>
      <c r="FI1" s="474"/>
      <c r="FJ1" s="474"/>
      <c r="FK1" s="474"/>
      <c r="FL1" s="474"/>
      <c r="FM1" s="474"/>
      <c r="FN1" s="474"/>
      <c r="FO1" s="474"/>
      <c r="FP1" s="474"/>
      <c r="FQ1" s="474"/>
      <c r="FR1" s="474"/>
      <c r="FS1" s="474"/>
      <c r="FT1" s="474"/>
      <c r="FU1" s="474"/>
      <c r="FV1" s="474"/>
      <c r="FW1" s="474"/>
      <c r="FX1" s="474"/>
      <c r="FY1" s="474"/>
      <c r="FZ1" s="474"/>
      <c r="GA1" s="474"/>
      <c r="GB1" s="474"/>
      <c r="GC1" s="474"/>
      <c r="GD1" s="474"/>
      <c r="GE1" s="474"/>
      <c r="GF1" s="474"/>
      <c r="GG1" s="474"/>
      <c r="GH1" s="474"/>
      <c r="GI1" s="474"/>
      <c r="GJ1" s="474"/>
      <c r="GK1" s="474"/>
      <c r="GL1" s="474"/>
      <c r="GM1" s="474"/>
      <c r="GN1" s="474"/>
      <c r="GO1" s="474"/>
      <c r="GP1" s="474"/>
      <c r="GQ1" s="474"/>
      <c r="GR1" s="474"/>
      <c r="GS1" s="474"/>
      <c r="GT1" s="474"/>
      <c r="GU1" s="474"/>
      <c r="GV1" s="474"/>
      <c r="GW1" s="474"/>
      <c r="GX1" s="474"/>
      <c r="GY1" s="474"/>
      <c r="GZ1" s="474"/>
      <c r="HA1" s="474"/>
      <c r="HB1" s="474"/>
      <c r="HC1" s="474"/>
      <c r="HD1" s="474"/>
      <c r="HE1" s="474"/>
      <c r="HF1" s="474"/>
      <c r="HG1" s="474"/>
      <c r="HH1" s="474"/>
      <c r="HI1" s="474"/>
      <c r="HJ1" s="474"/>
      <c r="HK1" s="474"/>
      <c r="HL1" s="474"/>
      <c r="HM1" s="474"/>
      <c r="HN1" s="474"/>
      <c r="HO1" s="474"/>
      <c r="HP1" s="474"/>
      <c r="HQ1" s="474"/>
      <c r="HR1" s="474"/>
      <c r="HS1" s="474"/>
      <c r="HT1" s="474"/>
      <c r="HU1" s="474"/>
      <c r="HV1" s="474"/>
      <c r="HW1" s="474"/>
      <c r="HX1" s="474"/>
      <c r="HY1" s="474"/>
      <c r="HZ1" s="474"/>
      <c r="IA1" s="474"/>
      <c r="IB1" s="474"/>
      <c r="IC1" s="474"/>
      <c r="ID1" s="474"/>
      <c r="IE1" s="474"/>
      <c r="IF1" s="474"/>
      <c r="IG1" s="474"/>
      <c r="IH1" s="474"/>
      <c r="II1" s="474"/>
      <c r="IJ1" s="474"/>
      <c r="IK1" s="474"/>
      <c r="IL1" s="474"/>
      <c r="IM1" s="474"/>
      <c r="IN1" s="474"/>
      <c r="IO1" s="474"/>
      <c r="IP1" s="474"/>
      <c r="IQ1" s="474"/>
      <c r="IR1" s="474"/>
      <c r="IS1" s="474"/>
      <c r="IT1" s="474"/>
      <c r="IU1" s="474"/>
      <c r="IV1" s="474"/>
    </row>
    <row r="2" spans="1:256" ht="24" thickBot="1">
      <c r="A2" s="804" t="s">
        <v>518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  <c r="BU2" s="474"/>
      <c r="BV2" s="474"/>
      <c r="BW2" s="474"/>
      <c r="BX2" s="474"/>
      <c r="BY2" s="474"/>
      <c r="BZ2" s="474"/>
      <c r="CA2" s="474"/>
      <c r="CB2" s="474"/>
      <c r="CC2" s="474"/>
      <c r="CD2" s="474"/>
      <c r="CE2" s="474"/>
      <c r="CF2" s="474"/>
      <c r="CG2" s="474"/>
      <c r="CH2" s="474"/>
      <c r="CI2" s="474"/>
      <c r="CJ2" s="474"/>
      <c r="CK2" s="474"/>
      <c r="CL2" s="474"/>
      <c r="CM2" s="474"/>
      <c r="CN2" s="474"/>
      <c r="CO2" s="474"/>
      <c r="CP2" s="474"/>
      <c r="CQ2" s="474"/>
      <c r="CR2" s="474"/>
      <c r="CS2" s="474"/>
      <c r="CT2" s="474"/>
      <c r="CU2" s="474"/>
      <c r="CV2" s="474"/>
      <c r="CW2" s="474"/>
      <c r="CX2" s="474"/>
      <c r="CY2" s="474"/>
      <c r="CZ2" s="474"/>
      <c r="DA2" s="474"/>
      <c r="DB2" s="474"/>
      <c r="DC2" s="474"/>
      <c r="DD2" s="474"/>
      <c r="DE2" s="474"/>
      <c r="DF2" s="474"/>
      <c r="DG2" s="474"/>
      <c r="DH2" s="474"/>
      <c r="DI2" s="474"/>
      <c r="DJ2" s="474"/>
      <c r="DK2" s="474"/>
      <c r="DL2" s="474"/>
      <c r="DM2" s="474"/>
      <c r="DN2" s="474"/>
      <c r="DO2" s="474"/>
      <c r="DP2" s="474"/>
      <c r="DQ2" s="474"/>
      <c r="DR2" s="474"/>
      <c r="DS2" s="474"/>
      <c r="DT2" s="474"/>
      <c r="DU2" s="474"/>
      <c r="DV2" s="474"/>
      <c r="DW2" s="474"/>
      <c r="DX2" s="474"/>
      <c r="DY2" s="474"/>
      <c r="DZ2" s="474"/>
      <c r="EA2" s="474"/>
      <c r="EB2" s="474"/>
      <c r="EC2" s="474"/>
      <c r="ED2" s="474"/>
      <c r="EE2" s="474"/>
      <c r="EF2" s="474"/>
      <c r="EG2" s="474"/>
      <c r="EH2" s="474"/>
      <c r="EI2" s="474"/>
      <c r="EJ2" s="474"/>
      <c r="EK2" s="474"/>
      <c r="EL2" s="474"/>
      <c r="EM2" s="474"/>
      <c r="EN2" s="474"/>
      <c r="EO2" s="474"/>
      <c r="EP2" s="474"/>
      <c r="EQ2" s="474"/>
      <c r="ER2" s="474"/>
      <c r="ES2" s="474"/>
      <c r="ET2" s="474"/>
      <c r="EU2" s="474"/>
      <c r="EV2" s="474"/>
      <c r="EW2" s="474"/>
      <c r="EX2" s="474"/>
      <c r="EY2" s="474"/>
      <c r="EZ2" s="474"/>
      <c r="FA2" s="474"/>
      <c r="FB2" s="474"/>
      <c r="FC2" s="474"/>
      <c r="FD2" s="474"/>
      <c r="FE2" s="474"/>
      <c r="FF2" s="474"/>
      <c r="FG2" s="474"/>
      <c r="FH2" s="474"/>
      <c r="FI2" s="474"/>
      <c r="FJ2" s="474"/>
      <c r="FK2" s="474"/>
      <c r="FL2" s="474"/>
      <c r="FM2" s="474"/>
      <c r="FN2" s="474"/>
      <c r="FO2" s="474"/>
      <c r="FP2" s="474"/>
      <c r="FQ2" s="474"/>
      <c r="FR2" s="474"/>
      <c r="FS2" s="474"/>
      <c r="FT2" s="474"/>
      <c r="FU2" s="474"/>
      <c r="FV2" s="474"/>
      <c r="FW2" s="474"/>
      <c r="FX2" s="474"/>
      <c r="FY2" s="474"/>
      <c r="FZ2" s="474"/>
      <c r="GA2" s="474"/>
      <c r="GB2" s="474"/>
      <c r="GC2" s="474"/>
      <c r="GD2" s="474"/>
      <c r="GE2" s="474"/>
      <c r="GF2" s="474"/>
      <c r="GG2" s="474"/>
      <c r="GH2" s="474"/>
      <c r="GI2" s="474"/>
      <c r="GJ2" s="474"/>
      <c r="GK2" s="474"/>
      <c r="GL2" s="474"/>
      <c r="GM2" s="474"/>
      <c r="GN2" s="474"/>
      <c r="GO2" s="474"/>
      <c r="GP2" s="474"/>
      <c r="GQ2" s="474"/>
      <c r="GR2" s="474"/>
      <c r="GS2" s="474"/>
      <c r="GT2" s="474"/>
      <c r="GU2" s="474"/>
      <c r="GV2" s="474"/>
      <c r="GW2" s="474"/>
      <c r="GX2" s="474"/>
      <c r="GY2" s="474"/>
      <c r="GZ2" s="474"/>
      <c r="HA2" s="474"/>
      <c r="HB2" s="474"/>
      <c r="HC2" s="474"/>
      <c r="HD2" s="474"/>
      <c r="HE2" s="474"/>
      <c r="HF2" s="474"/>
      <c r="HG2" s="474"/>
      <c r="HH2" s="474"/>
      <c r="HI2" s="474"/>
      <c r="HJ2" s="474"/>
      <c r="HK2" s="474"/>
      <c r="HL2" s="474"/>
      <c r="HM2" s="474"/>
      <c r="HN2" s="474"/>
      <c r="HO2" s="474"/>
      <c r="HP2" s="474"/>
      <c r="HQ2" s="474"/>
      <c r="HR2" s="474"/>
      <c r="HS2" s="474"/>
      <c r="HT2" s="474"/>
      <c r="HU2" s="474"/>
      <c r="HV2" s="474"/>
      <c r="HW2" s="474"/>
      <c r="HX2" s="474"/>
      <c r="HY2" s="474"/>
      <c r="HZ2" s="474"/>
      <c r="IA2" s="474"/>
      <c r="IB2" s="474"/>
      <c r="IC2" s="474"/>
      <c r="ID2" s="474"/>
      <c r="IE2" s="474"/>
      <c r="IF2" s="474"/>
      <c r="IG2" s="474"/>
      <c r="IH2" s="474"/>
      <c r="II2" s="474"/>
      <c r="IJ2" s="474"/>
      <c r="IK2" s="474"/>
      <c r="IL2" s="474"/>
      <c r="IM2" s="474"/>
      <c r="IN2" s="474"/>
      <c r="IO2" s="474"/>
      <c r="IP2" s="474"/>
      <c r="IQ2" s="474"/>
      <c r="IR2" s="474"/>
      <c r="IS2" s="474"/>
      <c r="IT2" s="474"/>
      <c r="IU2" s="474"/>
      <c r="IV2" s="474"/>
    </row>
    <row r="3" spans="1:256" ht="24" thickBot="1">
      <c r="A3" s="476" t="s">
        <v>269</v>
      </c>
      <c r="B3" s="477" t="s">
        <v>243</v>
      </c>
      <c r="C3" s="798" t="s">
        <v>441</v>
      </c>
      <c r="D3" s="799"/>
      <c r="E3" s="799"/>
      <c r="F3" s="799"/>
      <c r="G3" s="799"/>
      <c r="H3" s="799"/>
      <c r="I3" s="799"/>
      <c r="J3" s="800"/>
      <c r="K3" s="805" t="s">
        <v>519</v>
      </c>
      <c r="L3" s="806"/>
      <c r="M3" s="806"/>
      <c r="N3" s="806"/>
      <c r="O3" s="806"/>
      <c r="P3" s="806"/>
      <c r="Q3" s="806"/>
      <c r="R3" s="806"/>
      <c r="S3" s="801" t="s">
        <v>270</v>
      </c>
      <c r="T3" s="802"/>
      <c r="U3" s="803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  <c r="DC3" s="474"/>
      <c r="DD3" s="474"/>
      <c r="DE3" s="474"/>
      <c r="DF3" s="474"/>
      <c r="DG3" s="474"/>
      <c r="DH3" s="474"/>
      <c r="DI3" s="474"/>
      <c r="DJ3" s="474"/>
      <c r="DK3" s="474"/>
      <c r="DL3" s="474"/>
      <c r="DM3" s="474"/>
      <c r="DN3" s="474"/>
      <c r="DO3" s="474"/>
      <c r="DP3" s="474"/>
      <c r="DQ3" s="474"/>
      <c r="DR3" s="474"/>
      <c r="DS3" s="474"/>
      <c r="DT3" s="474"/>
      <c r="DU3" s="474"/>
      <c r="DV3" s="474"/>
      <c r="DW3" s="474"/>
      <c r="DX3" s="474"/>
      <c r="DY3" s="474"/>
      <c r="DZ3" s="474"/>
      <c r="EA3" s="474"/>
      <c r="EB3" s="474"/>
      <c r="EC3" s="474"/>
      <c r="ED3" s="474"/>
      <c r="EE3" s="474"/>
      <c r="EF3" s="474"/>
      <c r="EG3" s="474"/>
      <c r="EH3" s="474"/>
      <c r="EI3" s="474"/>
      <c r="EJ3" s="474"/>
      <c r="EK3" s="474"/>
      <c r="EL3" s="474"/>
      <c r="EM3" s="474"/>
      <c r="EN3" s="474"/>
      <c r="EO3" s="474"/>
      <c r="EP3" s="474"/>
      <c r="EQ3" s="474"/>
      <c r="ER3" s="474"/>
      <c r="ES3" s="474"/>
      <c r="ET3" s="474"/>
      <c r="EU3" s="474"/>
      <c r="EV3" s="474"/>
      <c r="EW3" s="474"/>
      <c r="EX3" s="474"/>
      <c r="EY3" s="474"/>
      <c r="EZ3" s="474"/>
      <c r="FA3" s="474"/>
      <c r="FB3" s="474"/>
      <c r="FC3" s="474"/>
      <c r="FD3" s="474"/>
      <c r="FE3" s="474"/>
      <c r="FF3" s="474"/>
      <c r="FG3" s="474"/>
      <c r="FH3" s="474"/>
      <c r="FI3" s="474"/>
      <c r="FJ3" s="474"/>
      <c r="FK3" s="474"/>
      <c r="FL3" s="474"/>
      <c r="FM3" s="474"/>
      <c r="FN3" s="474"/>
      <c r="FO3" s="474"/>
      <c r="FP3" s="474"/>
      <c r="FQ3" s="474"/>
      <c r="FR3" s="474"/>
      <c r="FS3" s="474"/>
      <c r="FT3" s="474"/>
      <c r="FU3" s="474"/>
      <c r="FV3" s="474"/>
      <c r="FW3" s="474"/>
      <c r="FX3" s="474"/>
      <c r="FY3" s="474"/>
      <c r="FZ3" s="474"/>
      <c r="GA3" s="474"/>
      <c r="GB3" s="474"/>
      <c r="GC3" s="474"/>
      <c r="GD3" s="474"/>
      <c r="GE3" s="474"/>
      <c r="GF3" s="474"/>
      <c r="GG3" s="474"/>
      <c r="GH3" s="474"/>
      <c r="GI3" s="474"/>
      <c r="GJ3" s="474"/>
      <c r="GK3" s="474"/>
      <c r="GL3" s="474"/>
      <c r="GM3" s="474"/>
      <c r="GN3" s="474"/>
      <c r="GO3" s="474"/>
      <c r="GP3" s="474"/>
      <c r="GQ3" s="474"/>
      <c r="GR3" s="474"/>
      <c r="GS3" s="474"/>
      <c r="GT3" s="474"/>
      <c r="GU3" s="474"/>
      <c r="GV3" s="474"/>
      <c r="GW3" s="474"/>
      <c r="GX3" s="474"/>
      <c r="GY3" s="474"/>
      <c r="GZ3" s="474"/>
      <c r="HA3" s="474"/>
      <c r="HB3" s="474"/>
      <c r="HC3" s="474"/>
      <c r="HD3" s="474"/>
      <c r="HE3" s="474"/>
      <c r="HF3" s="474"/>
      <c r="HG3" s="474"/>
      <c r="HH3" s="474"/>
      <c r="HI3" s="474"/>
      <c r="HJ3" s="474"/>
      <c r="HK3" s="474"/>
      <c r="HL3" s="474"/>
      <c r="HM3" s="474"/>
      <c r="HN3" s="474"/>
      <c r="HO3" s="474"/>
      <c r="HP3" s="474"/>
      <c r="HQ3" s="474"/>
      <c r="HR3" s="474"/>
      <c r="HS3" s="474"/>
      <c r="HT3" s="474"/>
      <c r="HU3" s="474"/>
      <c r="HV3" s="474"/>
      <c r="HW3" s="474"/>
      <c r="HX3" s="474"/>
      <c r="HY3" s="474"/>
      <c r="HZ3" s="474"/>
      <c r="IA3" s="474"/>
      <c r="IB3" s="474"/>
      <c r="IC3" s="474"/>
      <c r="ID3" s="474"/>
      <c r="IE3" s="474"/>
      <c r="IF3" s="474"/>
      <c r="IG3" s="474"/>
      <c r="IH3" s="474"/>
      <c r="II3" s="474"/>
      <c r="IJ3" s="474"/>
      <c r="IK3" s="474"/>
      <c r="IL3" s="474"/>
      <c r="IM3" s="474"/>
      <c r="IN3" s="474"/>
      <c r="IO3" s="474"/>
      <c r="IP3" s="474"/>
      <c r="IQ3" s="474"/>
      <c r="IR3" s="474"/>
      <c r="IS3" s="474"/>
      <c r="IT3" s="474"/>
      <c r="IU3" s="474"/>
      <c r="IV3" s="474"/>
    </row>
    <row r="4" spans="1:256" s="489" customFormat="1" ht="82.5" customHeight="1">
      <c r="A4" s="478"/>
      <c r="B4" s="479"/>
      <c r="C4" s="480" t="s">
        <v>11</v>
      </c>
      <c r="D4" s="480" t="s">
        <v>12</v>
      </c>
      <c r="E4" s="480" t="s">
        <v>0</v>
      </c>
      <c r="F4" s="480" t="s">
        <v>244</v>
      </c>
      <c r="G4" s="481" t="s">
        <v>245</v>
      </c>
      <c r="H4" s="482" t="s">
        <v>246</v>
      </c>
      <c r="I4" s="483" t="s">
        <v>247</v>
      </c>
      <c r="J4" s="484" t="s">
        <v>248</v>
      </c>
      <c r="K4" s="611" t="s">
        <v>11</v>
      </c>
      <c r="L4" s="612" t="s">
        <v>12</v>
      </c>
      <c r="M4" s="612" t="s">
        <v>0</v>
      </c>
      <c r="N4" s="612" t="s">
        <v>244</v>
      </c>
      <c r="O4" s="612" t="s">
        <v>245</v>
      </c>
      <c r="P4" s="613" t="s">
        <v>246</v>
      </c>
      <c r="Q4" s="614" t="s">
        <v>247</v>
      </c>
      <c r="R4" s="615" t="s">
        <v>248</v>
      </c>
      <c r="S4" s="485" t="s">
        <v>271</v>
      </c>
      <c r="T4" s="486" t="s">
        <v>272</v>
      </c>
      <c r="U4" s="487" t="s">
        <v>273</v>
      </c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8"/>
      <c r="CN4" s="488"/>
      <c r="CO4" s="488"/>
      <c r="CP4" s="488"/>
      <c r="CQ4" s="488"/>
      <c r="CR4" s="488"/>
      <c r="CS4" s="488"/>
      <c r="CT4" s="488"/>
      <c r="CU4" s="488"/>
      <c r="CV4" s="488"/>
      <c r="CW4" s="488"/>
      <c r="CX4" s="488"/>
      <c r="CY4" s="488"/>
      <c r="CZ4" s="488"/>
      <c r="DA4" s="488"/>
      <c r="DB4" s="488"/>
      <c r="DC4" s="488"/>
      <c r="DD4" s="488"/>
      <c r="DE4" s="488"/>
      <c r="DF4" s="488"/>
      <c r="DG4" s="488"/>
      <c r="DH4" s="488"/>
      <c r="DI4" s="488"/>
      <c r="DJ4" s="488"/>
      <c r="DK4" s="488"/>
      <c r="DL4" s="488"/>
      <c r="DM4" s="488"/>
      <c r="DN4" s="488"/>
      <c r="DO4" s="488"/>
      <c r="DP4" s="488"/>
      <c r="DQ4" s="488"/>
      <c r="DR4" s="488"/>
      <c r="DS4" s="488"/>
      <c r="DT4" s="488"/>
      <c r="DU4" s="488"/>
      <c r="DV4" s="488"/>
      <c r="DW4" s="488"/>
      <c r="DX4" s="488"/>
      <c r="DY4" s="488"/>
      <c r="DZ4" s="488"/>
      <c r="EA4" s="488"/>
      <c r="EB4" s="488"/>
      <c r="EC4" s="488"/>
      <c r="ED4" s="488"/>
      <c r="EE4" s="488"/>
      <c r="EF4" s="488"/>
      <c r="EG4" s="488"/>
      <c r="EH4" s="488"/>
      <c r="EI4" s="488"/>
      <c r="EJ4" s="488"/>
      <c r="EK4" s="488"/>
      <c r="EL4" s="488"/>
      <c r="EM4" s="488"/>
      <c r="EN4" s="488"/>
      <c r="EO4" s="488"/>
      <c r="EP4" s="488"/>
      <c r="EQ4" s="488"/>
      <c r="ER4" s="488"/>
      <c r="ES4" s="488"/>
      <c r="ET4" s="488"/>
      <c r="EU4" s="488"/>
      <c r="EV4" s="488"/>
      <c r="EW4" s="488"/>
      <c r="EX4" s="488"/>
      <c r="EY4" s="488"/>
      <c r="EZ4" s="488"/>
      <c r="FA4" s="488"/>
      <c r="FB4" s="488"/>
      <c r="FC4" s="488"/>
      <c r="FD4" s="488"/>
      <c r="FE4" s="488"/>
      <c r="FF4" s="488"/>
      <c r="FG4" s="488"/>
      <c r="FH4" s="488"/>
      <c r="FI4" s="488"/>
      <c r="FJ4" s="488"/>
      <c r="FK4" s="488"/>
      <c r="FL4" s="488"/>
      <c r="FM4" s="488"/>
      <c r="FN4" s="488"/>
      <c r="FO4" s="488"/>
      <c r="FP4" s="488"/>
      <c r="FQ4" s="488"/>
      <c r="FR4" s="488"/>
      <c r="FS4" s="488"/>
      <c r="FT4" s="488"/>
      <c r="FU4" s="488"/>
      <c r="FV4" s="488"/>
      <c r="FW4" s="488"/>
      <c r="FX4" s="488"/>
      <c r="FY4" s="488"/>
      <c r="FZ4" s="488"/>
      <c r="GA4" s="488"/>
      <c r="GB4" s="488"/>
      <c r="GC4" s="488"/>
      <c r="GD4" s="488"/>
      <c r="GE4" s="488"/>
      <c r="GF4" s="488"/>
      <c r="GG4" s="488"/>
      <c r="GH4" s="488"/>
      <c r="GI4" s="488"/>
      <c r="GJ4" s="488"/>
      <c r="GK4" s="488"/>
      <c r="GL4" s="488"/>
      <c r="GM4" s="488"/>
      <c r="GN4" s="488"/>
      <c r="GO4" s="488"/>
      <c r="GP4" s="488"/>
      <c r="GQ4" s="488"/>
      <c r="GR4" s="488"/>
      <c r="GS4" s="488"/>
      <c r="GT4" s="488"/>
      <c r="GU4" s="488"/>
      <c r="GV4" s="488"/>
      <c r="GW4" s="488"/>
      <c r="GX4" s="488"/>
      <c r="GY4" s="488"/>
      <c r="GZ4" s="488"/>
      <c r="HA4" s="488"/>
      <c r="HB4" s="488"/>
      <c r="HC4" s="488"/>
      <c r="HD4" s="488"/>
      <c r="HE4" s="488"/>
      <c r="HF4" s="488"/>
      <c r="HG4" s="488"/>
      <c r="HH4" s="488"/>
      <c r="HI4" s="488"/>
      <c r="HJ4" s="488"/>
      <c r="HK4" s="488"/>
      <c r="HL4" s="488"/>
      <c r="HM4" s="488"/>
      <c r="HN4" s="488"/>
      <c r="HO4" s="488"/>
      <c r="HP4" s="488"/>
      <c r="HQ4" s="488"/>
      <c r="HR4" s="488"/>
      <c r="HS4" s="488"/>
      <c r="HT4" s="488"/>
      <c r="HU4" s="488"/>
      <c r="HV4" s="488"/>
      <c r="HW4" s="488"/>
      <c r="HX4" s="488"/>
      <c r="HY4" s="488"/>
      <c r="HZ4" s="488"/>
      <c r="IA4" s="488"/>
      <c r="IB4" s="488"/>
      <c r="IC4" s="488"/>
      <c r="ID4" s="488"/>
      <c r="IE4" s="488"/>
      <c r="IF4" s="488"/>
      <c r="IG4" s="488"/>
      <c r="IH4" s="488"/>
      <c r="II4" s="488"/>
      <c r="IJ4" s="488"/>
      <c r="IK4" s="488"/>
      <c r="IL4" s="488"/>
      <c r="IM4" s="488"/>
      <c r="IN4" s="488"/>
      <c r="IO4" s="488"/>
      <c r="IP4" s="488"/>
      <c r="IQ4" s="488"/>
      <c r="IR4" s="488"/>
      <c r="IS4" s="488"/>
      <c r="IT4" s="488"/>
      <c r="IU4" s="488"/>
      <c r="IV4" s="488"/>
    </row>
    <row r="5" spans="1:256" s="490" customFormat="1" ht="19.5">
      <c r="A5" s="557" t="s">
        <v>249</v>
      </c>
      <c r="B5" s="558"/>
      <c r="C5" s="558"/>
      <c r="D5" s="558"/>
      <c r="E5" s="558"/>
      <c r="F5" s="558"/>
      <c r="G5" s="558"/>
      <c r="H5" s="558"/>
      <c r="I5" s="558"/>
      <c r="J5" s="558"/>
      <c r="K5" s="616"/>
      <c r="L5" s="616"/>
      <c r="M5" s="616"/>
      <c r="N5" s="616"/>
      <c r="O5" s="616"/>
      <c r="P5" s="616"/>
      <c r="Q5" s="616"/>
      <c r="R5" s="616"/>
      <c r="S5" s="558"/>
      <c r="T5" s="558"/>
      <c r="U5" s="559"/>
    </row>
    <row r="6" spans="1:256" ht="20.100000000000001" customHeight="1">
      <c r="A6" s="491" t="s">
        <v>364</v>
      </c>
      <c r="B6" s="492" t="s">
        <v>408</v>
      </c>
      <c r="C6" s="493">
        <v>256716871.51025963</v>
      </c>
      <c r="D6" s="493">
        <v>4339537.1363331433</v>
      </c>
      <c r="E6" s="493">
        <v>16564335.568569105</v>
      </c>
      <c r="F6" s="493">
        <v>80021459.520023733</v>
      </c>
      <c r="G6" s="494">
        <f>SUM(C6:F6)</f>
        <v>357642203.73518562</v>
      </c>
      <c r="H6" s="652">
        <v>76</v>
      </c>
      <c r="I6" s="495" t="s">
        <v>252</v>
      </c>
      <c r="J6" s="496">
        <f>G6/H6</f>
        <v>4705818.4701998113</v>
      </c>
      <c r="K6" s="617">
        <v>317528332.8478629</v>
      </c>
      <c r="L6" s="617">
        <v>7390819.5321648382</v>
      </c>
      <c r="M6" s="617">
        <v>42881478.653239302</v>
      </c>
      <c r="N6" s="617">
        <v>56862585.63624125</v>
      </c>
      <c r="O6" s="618">
        <f>SUM(K6:N6)</f>
        <v>424663216.66950828</v>
      </c>
      <c r="P6" s="619">
        <v>76</v>
      </c>
      <c r="Q6" s="620" t="s">
        <v>252</v>
      </c>
      <c r="R6" s="621">
        <f>O6/P6</f>
        <v>5587673.9035461619</v>
      </c>
      <c r="S6" s="498">
        <f>(((O6-G6)/G6)*100)</f>
        <v>18.739682351344651</v>
      </c>
      <c r="T6" s="498">
        <f t="shared" ref="T6" si="0">(((P6-H6)/H6)*100)</f>
        <v>0</v>
      </c>
      <c r="U6" s="498">
        <f>(((R6-J6)/J6)*100)</f>
        <v>18.739682351344648</v>
      </c>
    </row>
    <row r="7" spans="1:256" ht="20.100000000000001" customHeight="1">
      <c r="A7" s="499" t="s">
        <v>365</v>
      </c>
      <c r="B7" s="500" t="s">
        <v>409</v>
      </c>
      <c r="C7" s="493">
        <v>257496317.32966173</v>
      </c>
      <c r="D7" s="493">
        <v>4216440.2979981527</v>
      </c>
      <c r="E7" s="493">
        <v>16377494.88364128</v>
      </c>
      <c r="F7" s="493">
        <v>80002768.681075573</v>
      </c>
      <c r="G7" s="494">
        <f t="shared" ref="G7:G28" si="1">SUM(C7:F7)</f>
        <v>358093021.19237673</v>
      </c>
      <c r="H7" s="675">
        <v>76</v>
      </c>
      <c r="I7" s="501" t="s">
        <v>252</v>
      </c>
      <c r="J7" s="502">
        <f t="shared" ref="J7:J28" si="2">G7/H7</f>
        <v>4711750.278847062</v>
      </c>
      <c r="K7" s="617">
        <v>315850864.15838003</v>
      </c>
      <c r="L7" s="617">
        <v>7213386.1185243614</v>
      </c>
      <c r="M7" s="617">
        <v>42710022.744681232</v>
      </c>
      <c r="N7" s="617">
        <v>56835448.578033946</v>
      </c>
      <c r="O7" s="618">
        <f t="shared" ref="O7:O25" si="3">SUM(K7:N7)</f>
        <v>422609721.59961957</v>
      </c>
      <c r="P7" s="622">
        <v>76</v>
      </c>
      <c r="Q7" s="623" t="s">
        <v>252</v>
      </c>
      <c r="R7" s="621">
        <f t="shared" ref="R7:R25" si="4">O7/P7</f>
        <v>5560654.2315739421</v>
      </c>
      <c r="S7" s="498">
        <f t="shared" ref="S7:S22" si="5">(((O7-G7)/G7)*100)</f>
        <v>18.01674330106054</v>
      </c>
      <c r="T7" s="498">
        <f t="shared" ref="T7:T15" si="6">(((P7-H7)/H7)*100)</f>
        <v>0</v>
      </c>
      <c r="U7" s="498">
        <f>(((R7-J7)/J7)*100)</f>
        <v>18.016743301060558</v>
      </c>
    </row>
    <row r="8" spans="1:256" s="691" customFormat="1" ht="20.100000000000001" customHeight="1">
      <c r="A8" s="679" t="s">
        <v>366</v>
      </c>
      <c r="B8" s="680" t="s">
        <v>410</v>
      </c>
      <c r="C8" s="681">
        <v>250136970.74701232</v>
      </c>
      <c r="D8" s="681">
        <v>4185666.088414405</v>
      </c>
      <c r="E8" s="681">
        <v>16330784.712409321</v>
      </c>
      <c r="F8" s="681">
        <v>79998095.971338511</v>
      </c>
      <c r="G8" s="682">
        <f t="shared" si="1"/>
        <v>350651517.51917458</v>
      </c>
      <c r="H8" s="683">
        <v>37</v>
      </c>
      <c r="I8" s="684" t="s">
        <v>252</v>
      </c>
      <c r="J8" s="685">
        <f t="shared" si="2"/>
        <v>9477068.0410587732</v>
      </c>
      <c r="K8" s="686">
        <v>321053047.72258049</v>
      </c>
      <c r="L8" s="686">
        <v>7684602.7252416927</v>
      </c>
      <c r="M8" s="686">
        <v>43165364.665769853</v>
      </c>
      <c r="N8" s="686">
        <v>56907517.486715637</v>
      </c>
      <c r="O8" s="687">
        <f t="shared" si="3"/>
        <v>428810532.6003077</v>
      </c>
      <c r="P8" s="688">
        <v>30</v>
      </c>
      <c r="Q8" s="689" t="s">
        <v>252</v>
      </c>
      <c r="R8" s="690">
        <f t="shared" si="4"/>
        <v>14293684.420010258</v>
      </c>
      <c r="S8" s="678">
        <f t="shared" si="5"/>
        <v>22.289655448834377</v>
      </c>
      <c r="T8" s="678">
        <f t="shared" si="6"/>
        <v>-18.918918918918919</v>
      </c>
      <c r="U8" s="678">
        <f t="shared" ref="U8:U20" si="7">(((R8-J8)/J8)*100)</f>
        <v>50.823908386895724</v>
      </c>
    </row>
    <row r="9" spans="1:256" ht="20.100000000000001" customHeight="1">
      <c r="A9" s="499" t="s">
        <v>367</v>
      </c>
      <c r="B9" s="500" t="s">
        <v>522</v>
      </c>
      <c r="C9" s="493">
        <v>252161556.58171344</v>
      </c>
      <c r="D9" s="493">
        <v>4124117.6692469087</v>
      </c>
      <c r="E9" s="493">
        <v>16237364.369945411</v>
      </c>
      <c r="F9" s="493">
        <v>79988750.551864445</v>
      </c>
      <c r="G9" s="494">
        <f t="shared" si="1"/>
        <v>352511789.1727702</v>
      </c>
      <c r="H9" s="653">
        <v>76</v>
      </c>
      <c r="I9" s="501" t="s">
        <v>252</v>
      </c>
      <c r="J9" s="502">
        <f t="shared" si="2"/>
        <v>4638313.0154311871</v>
      </c>
      <c r="K9" s="617">
        <v>309196231.03224641</v>
      </c>
      <c r="L9" s="617">
        <v>6899241.7140461411</v>
      </c>
      <c r="M9" s="617">
        <v>42406461.463955499</v>
      </c>
      <c r="N9" s="617">
        <v>56787402.638912819</v>
      </c>
      <c r="O9" s="618">
        <f t="shared" si="3"/>
        <v>415289336.84916085</v>
      </c>
      <c r="P9" s="622">
        <v>76</v>
      </c>
      <c r="Q9" s="623" t="s">
        <v>252</v>
      </c>
      <c r="R9" s="621">
        <f t="shared" si="4"/>
        <v>5464333.3795942217</v>
      </c>
      <c r="S9" s="498">
        <f t="shared" si="5"/>
        <v>17.808637783067908</v>
      </c>
      <c r="T9" s="498">
        <f t="shared" si="6"/>
        <v>0</v>
      </c>
      <c r="U9" s="498">
        <f t="shared" si="7"/>
        <v>17.808637783067905</v>
      </c>
    </row>
    <row r="10" spans="1:256" s="704" customFormat="1" ht="20.100000000000001" hidden="1" customHeight="1">
      <c r="A10" s="692" t="s">
        <v>368</v>
      </c>
      <c r="B10" s="693" t="s">
        <v>411</v>
      </c>
      <c r="C10" s="694"/>
      <c r="D10" s="694"/>
      <c r="E10" s="694"/>
      <c r="F10" s="694"/>
      <c r="G10" s="695"/>
      <c r="H10" s="675">
        <v>54</v>
      </c>
      <c r="I10" s="696" t="s">
        <v>251</v>
      </c>
      <c r="J10" s="697">
        <f t="shared" si="2"/>
        <v>0</v>
      </c>
      <c r="K10" s="698"/>
      <c r="L10" s="698">
        <v>0</v>
      </c>
      <c r="M10" s="698">
        <v>0</v>
      </c>
      <c r="N10" s="698">
        <v>0</v>
      </c>
      <c r="O10" s="699">
        <f t="shared" si="3"/>
        <v>0</v>
      </c>
      <c r="P10" s="700"/>
      <c r="Q10" s="701" t="s">
        <v>251</v>
      </c>
      <c r="R10" s="702"/>
      <c r="S10" s="703" t="e">
        <f t="shared" ref="S10" si="8">(((O10-G10)/G10)*100)</f>
        <v>#DIV/0!</v>
      </c>
      <c r="T10" s="703">
        <f t="shared" ref="T10" si="9">(((P10-H10)/H10)*100)</f>
        <v>-100</v>
      </c>
      <c r="U10" s="703" t="e">
        <f t="shared" si="7"/>
        <v>#DIV/0!</v>
      </c>
    </row>
    <row r="11" spans="1:256" s="704" customFormat="1" ht="20.100000000000001" customHeight="1">
      <c r="A11" s="692" t="s">
        <v>369</v>
      </c>
      <c r="B11" s="693" t="s">
        <v>412</v>
      </c>
      <c r="C11" s="694">
        <v>9486033.8447677828</v>
      </c>
      <c r="D11" s="694">
        <v>195674.29117808235</v>
      </c>
      <c r="E11" s="694">
        <v>463104.03349908837</v>
      </c>
      <c r="F11" s="694">
        <v>57343.031461361003</v>
      </c>
      <c r="G11" s="695">
        <f t="shared" si="1"/>
        <v>10202155.200906316</v>
      </c>
      <c r="H11" s="675">
        <v>47</v>
      </c>
      <c r="I11" s="696" t="s">
        <v>253</v>
      </c>
      <c r="J11" s="697">
        <f t="shared" si="2"/>
        <v>217067.13193417693</v>
      </c>
      <c r="K11" s="698">
        <v>12085811.085382549</v>
      </c>
      <c r="L11" s="698">
        <v>773366.65843441512</v>
      </c>
      <c r="M11" s="698">
        <v>637789.00819638267</v>
      </c>
      <c r="N11" s="698">
        <v>51234.213472868214</v>
      </c>
      <c r="O11" s="699">
        <f t="shared" si="3"/>
        <v>13548200.965486214</v>
      </c>
      <c r="P11" s="700">
        <v>38</v>
      </c>
      <c r="Q11" s="701" t="s">
        <v>253</v>
      </c>
      <c r="R11" s="702">
        <f t="shared" si="4"/>
        <v>356531.60435490037</v>
      </c>
      <c r="S11" s="703">
        <f t="shared" si="5"/>
        <v>32.797440331849188</v>
      </c>
      <c r="T11" s="703">
        <f t="shared" si="6"/>
        <v>-19.148936170212767</v>
      </c>
      <c r="U11" s="703">
        <f t="shared" si="7"/>
        <v>64.249465673602955</v>
      </c>
    </row>
    <row r="12" spans="1:256" s="704" customFormat="1" ht="20.100000000000001" customHeight="1">
      <c r="A12" s="692" t="s">
        <v>370</v>
      </c>
      <c r="B12" s="693" t="s">
        <v>413</v>
      </c>
      <c r="C12" s="694">
        <f>9625005.09591708+8793638.32</f>
        <v>18418643.41591708</v>
      </c>
      <c r="D12" s="694">
        <f>195050.006300944+194503.76</f>
        <v>389553.76630094403</v>
      </c>
      <c r="E12" s="694">
        <f>461626.533093109+460333.72</f>
        <v>921960.253093109</v>
      </c>
      <c r="F12" s="694">
        <f>57160.082607247+57000</f>
        <v>114160.08260724699</v>
      </c>
      <c r="G12" s="695">
        <f t="shared" si="1"/>
        <v>19844317.517918378</v>
      </c>
      <c r="H12" s="675">
        <v>12</v>
      </c>
      <c r="I12" s="696" t="s">
        <v>253</v>
      </c>
      <c r="J12" s="697">
        <f t="shared" si="2"/>
        <v>1653693.1264931981</v>
      </c>
      <c r="K12" s="698">
        <f>16923542.5538434+13720</f>
        <v>16937262.553843401</v>
      </c>
      <c r="L12" s="698">
        <v>1031155.5445792201</v>
      </c>
      <c r="M12" s="698">
        <v>850385.34426184359</v>
      </c>
      <c r="N12" s="698">
        <v>68312.284630490947</v>
      </c>
      <c r="O12" s="699">
        <f t="shared" si="3"/>
        <v>18887115.727314956</v>
      </c>
      <c r="P12" s="700">
        <v>14</v>
      </c>
      <c r="Q12" s="701" t="s">
        <v>253</v>
      </c>
      <c r="R12" s="702">
        <f t="shared" si="4"/>
        <v>1349079.6948082112</v>
      </c>
      <c r="S12" s="703">
        <f t="shared" si="5"/>
        <v>-4.8235561124191779</v>
      </c>
      <c r="T12" s="703">
        <f t="shared" si="6"/>
        <v>16.666666666666664</v>
      </c>
      <c r="U12" s="703">
        <f t="shared" si="7"/>
        <v>-18.42019095350215</v>
      </c>
    </row>
    <row r="13" spans="1:256" s="704" customFormat="1" ht="20.100000000000001" customHeight="1">
      <c r="A13" s="692" t="s">
        <v>371</v>
      </c>
      <c r="B13" s="693" t="s">
        <v>524</v>
      </c>
      <c r="C13" s="705">
        <v>10311569.555773417</v>
      </c>
      <c r="D13" s="705">
        <v>195128.04191058624</v>
      </c>
      <c r="E13" s="705">
        <f>461811.220643857</f>
        <v>461811.22064385703</v>
      </c>
      <c r="F13" s="705">
        <v>57182.951214011249</v>
      </c>
      <c r="G13" s="695">
        <f t="shared" si="1"/>
        <v>11025691.769541873</v>
      </c>
      <c r="H13" s="675">
        <v>17341</v>
      </c>
      <c r="I13" s="696" t="s">
        <v>254</v>
      </c>
      <c r="J13" s="697">
        <f t="shared" si="2"/>
        <v>635.81637561512446</v>
      </c>
      <c r="K13" s="698">
        <v>12694563.085382549</v>
      </c>
      <c r="L13" s="698">
        <v>773366.65843441512</v>
      </c>
      <c r="M13" s="698">
        <v>637789.00819638267</v>
      </c>
      <c r="N13" s="698">
        <v>51234.213472868214</v>
      </c>
      <c r="O13" s="699">
        <f t="shared" si="3"/>
        <v>14156952.965486214</v>
      </c>
      <c r="P13" s="700">
        <v>15870</v>
      </c>
      <c r="Q13" s="701" t="s">
        <v>254</v>
      </c>
      <c r="R13" s="702">
        <f t="shared" si="4"/>
        <v>892.05752775590508</v>
      </c>
      <c r="S13" s="703">
        <f t="shared" si="5"/>
        <v>28.399680141561291</v>
      </c>
      <c r="T13" s="703">
        <f t="shared" si="6"/>
        <v>-8.482786459835074</v>
      </c>
      <c r="U13" s="703">
        <f t="shared" si="7"/>
        <v>40.301124973838327</v>
      </c>
    </row>
    <row r="14" spans="1:256" ht="20.100000000000001" customHeight="1">
      <c r="A14" s="499" t="s">
        <v>372</v>
      </c>
      <c r="B14" s="500" t="s">
        <v>335</v>
      </c>
      <c r="C14" s="493">
        <v>3391979.66163661</v>
      </c>
      <c r="D14" s="493">
        <v>61413.964036203579</v>
      </c>
      <c r="E14" s="493">
        <v>193765.96490527544</v>
      </c>
      <c r="F14" s="493">
        <v>5065.7000345868728</v>
      </c>
      <c r="G14" s="494">
        <f t="shared" si="1"/>
        <v>3652225.2906126757</v>
      </c>
      <c r="H14" s="653">
        <v>730</v>
      </c>
      <c r="I14" s="501" t="s">
        <v>459</v>
      </c>
      <c r="J14" s="502">
        <f t="shared" si="2"/>
        <v>5003.0483433050349</v>
      </c>
      <c r="K14" s="617">
        <v>3736580.6795352204</v>
      </c>
      <c r="L14" s="617">
        <v>250443.07304619343</v>
      </c>
      <c r="M14" s="617">
        <v>242695.47533161071</v>
      </c>
      <c r="N14" s="617">
        <v>5575.9042437467688</v>
      </c>
      <c r="O14" s="618">
        <f t="shared" si="3"/>
        <v>4235295.1321567716</v>
      </c>
      <c r="P14" s="622">
        <v>730</v>
      </c>
      <c r="Q14" s="623" t="s">
        <v>459</v>
      </c>
      <c r="R14" s="621">
        <f t="shared" si="4"/>
        <v>5801.7741536394133</v>
      </c>
      <c r="S14" s="498">
        <f t="shared" si="5"/>
        <v>15.964782978825589</v>
      </c>
      <c r="T14" s="498">
        <f t="shared" si="6"/>
        <v>0</v>
      </c>
      <c r="U14" s="498">
        <f t="shared" si="7"/>
        <v>15.964782978825601</v>
      </c>
    </row>
    <row r="15" spans="1:256" ht="20.100000000000001" customHeight="1">
      <c r="A15" s="499" t="s">
        <v>373</v>
      </c>
      <c r="B15" s="500" t="s">
        <v>473</v>
      </c>
      <c r="C15" s="493">
        <v>3812305.5837220233</v>
      </c>
      <c r="D15" s="493">
        <v>65313.574388215224</v>
      </c>
      <c r="E15" s="493">
        <v>206069.54723333858</v>
      </c>
      <c r="F15" s="493">
        <v>5387.3574394633206</v>
      </c>
      <c r="G15" s="494">
        <f t="shared" si="1"/>
        <v>4089076.0627830406</v>
      </c>
      <c r="H15" s="653">
        <v>6545</v>
      </c>
      <c r="I15" s="501" t="s">
        <v>254</v>
      </c>
      <c r="J15" s="502">
        <f t="shared" si="2"/>
        <v>624.76334037937977</v>
      </c>
      <c r="K15" s="617">
        <v>3721223.6280443165</v>
      </c>
      <c r="L15" s="617">
        <v>266345.48897988599</v>
      </c>
      <c r="M15" s="617">
        <v>258105.9410594315</v>
      </c>
      <c r="N15" s="617">
        <v>5929.9581507364337</v>
      </c>
      <c r="O15" s="618">
        <f t="shared" si="3"/>
        <v>4251605.0162343699</v>
      </c>
      <c r="P15" s="622">
        <v>6975</v>
      </c>
      <c r="Q15" s="623" t="s">
        <v>254</v>
      </c>
      <c r="R15" s="621">
        <f t="shared" si="4"/>
        <v>609.54910627016056</v>
      </c>
      <c r="S15" s="498">
        <f t="shared" si="5"/>
        <v>3.9747109360619612</v>
      </c>
      <c r="T15" s="498">
        <f t="shared" si="6"/>
        <v>6.5699006875477455</v>
      </c>
      <c r="U15" s="498">
        <f t="shared" si="7"/>
        <v>-2.4351995589210711</v>
      </c>
    </row>
    <row r="16" spans="1:256" s="505" customFormat="1" ht="21.75" customHeight="1">
      <c r="A16" s="499" t="s">
        <v>374</v>
      </c>
      <c r="B16" s="503" t="s">
        <v>431</v>
      </c>
      <c r="C16" s="497">
        <v>3397314.5506420368</v>
      </c>
      <c r="D16" s="497">
        <v>69232.780772146521</v>
      </c>
      <c r="E16" s="497">
        <v>218434.95660827638</v>
      </c>
      <c r="F16" s="497">
        <v>5710.631213208494</v>
      </c>
      <c r="G16" s="494">
        <f t="shared" si="1"/>
        <v>3690692.9192356681</v>
      </c>
      <c r="H16" s="653">
        <v>29</v>
      </c>
      <c r="I16" s="501" t="s">
        <v>459</v>
      </c>
      <c r="J16" s="504">
        <f t="shared" si="2"/>
        <v>127265.273077092</v>
      </c>
      <c r="K16" s="617">
        <v>3916111.2144856201</v>
      </c>
      <c r="L16" s="617">
        <v>282327.81655143632</v>
      </c>
      <c r="M16" s="617">
        <v>273593.84631352284</v>
      </c>
      <c r="N16" s="617">
        <v>6285.7912230878546</v>
      </c>
      <c r="O16" s="618">
        <f t="shared" si="3"/>
        <v>4478318.6685736682</v>
      </c>
      <c r="P16" s="624">
        <v>35</v>
      </c>
      <c r="Q16" s="625" t="s">
        <v>459</v>
      </c>
      <c r="R16" s="621">
        <f t="shared" si="4"/>
        <v>127951.96195924767</v>
      </c>
      <c r="S16" s="498">
        <f t="shared" si="5"/>
        <v>21.340863804543108</v>
      </c>
      <c r="T16" s="498">
        <f t="shared" ref="T16:T28" si="10">(((P16-H16)/H16)*100)</f>
        <v>20.689655172413794</v>
      </c>
      <c r="U16" s="498">
        <f t="shared" si="7"/>
        <v>0.539572866621436</v>
      </c>
    </row>
    <row r="17" spans="1:21" ht="20.100000000000001" customHeight="1">
      <c r="A17" s="499" t="s">
        <v>385</v>
      </c>
      <c r="B17" s="506" t="s">
        <v>474</v>
      </c>
      <c r="C17" s="721">
        <v>24026754.908722229</v>
      </c>
      <c r="D17" s="721">
        <v>884209.07575502316</v>
      </c>
      <c r="E17" s="721">
        <v>1851658.2585991686</v>
      </c>
      <c r="F17" s="721">
        <v>458171.5256102659</v>
      </c>
      <c r="G17" s="722">
        <f>SUM(C17:F17)</f>
        <v>27220793.768686686</v>
      </c>
      <c r="H17" s="653">
        <v>334</v>
      </c>
      <c r="I17" s="723" t="s">
        <v>435</v>
      </c>
      <c r="J17" s="502">
        <f t="shared" si="2"/>
        <v>81499.382540978098</v>
      </c>
      <c r="K17" s="724">
        <v>32180289.454895031</v>
      </c>
      <c r="L17" s="724">
        <v>1407087.629043658</v>
      </c>
      <c r="M17" s="724">
        <v>1045675.4003294575</v>
      </c>
      <c r="N17" s="724">
        <v>420282.70447093027</v>
      </c>
      <c r="O17" s="618">
        <f t="shared" si="3"/>
        <v>35053335.188739076</v>
      </c>
      <c r="P17" s="622">
        <v>237</v>
      </c>
      <c r="Q17" s="623" t="s">
        <v>435</v>
      </c>
      <c r="R17" s="621">
        <f t="shared" si="4"/>
        <v>147904.36788497501</v>
      </c>
      <c r="S17" s="498">
        <f t="shared" si="5"/>
        <v>28.77411102192956</v>
      </c>
      <c r="T17" s="498">
        <f t="shared" si="10"/>
        <v>-29.041916167664674</v>
      </c>
      <c r="U17" s="498">
        <f t="shared" si="7"/>
        <v>81.479126925419735</v>
      </c>
    </row>
    <row r="18" spans="1:21" s="704" customFormat="1" ht="20.100000000000001" customHeight="1">
      <c r="A18" s="692" t="s">
        <v>386</v>
      </c>
      <c r="B18" s="693" t="s">
        <v>353</v>
      </c>
      <c r="C18" s="694">
        <v>2669639.4343024702</v>
      </c>
      <c r="D18" s="694">
        <v>98245.452861669255</v>
      </c>
      <c r="E18" s="694">
        <v>205739.80651101872</v>
      </c>
      <c r="F18" s="694">
        <v>50907.947290029544</v>
      </c>
      <c r="G18" s="695">
        <f>SUM(C18:F18)</f>
        <v>3024532.6409651879</v>
      </c>
      <c r="H18" s="675">
        <v>179</v>
      </c>
      <c r="I18" s="696" t="s">
        <v>253</v>
      </c>
      <c r="J18" s="697">
        <f t="shared" si="2"/>
        <v>16896.830396453563</v>
      </c>
      <c r="K18" s="698">
        <v>3894184.6060994477</v>
      </c>
      <c r="L18" s="698">
        <v>156343.06989373977</v>
      </c>
      <c r="M18" s="698">
        <v>116186.15559216196</v>
      </c>
      <c r="N18" s="698">
        <v>46698.078274547814</v>
      </c>
      <c r="O18" s="699">
        <f t="shared" si="3"/>
        <v>4213411.9098598976</v>
      </c>
      <c r="P18" s="700">
        <v>221</v>
      </c>
      <c r="Q18" s="701" t="s">
        <v>253</v>
      </c>
      <c r="R18" s="702">
        <f t="shared" si="4"/>
        <v>19065.212261809491</v>
      </c>
      <c r="S18" s="703">
        <f t="shared" si="5"/>
        <v>39.307867033477109</v>
      </c>
      <c r="T18" s="703">
        <f t="shared" si="10"/>
        <v>23.463687150837988</v>
      </c>
      <c r="U18" s="703">
        <f t="shared" si="7"/>
        <v>12.833068773721285</v>
      </c>
    </row>
    <row r="19" spans="1:21" ht="20.100000000000001" customHeight="1">
      <c r="A19" s="499" t="s">
        <v>387</v>
      </c>
      <c r="B19" s="500" t="s">
        <v>423</v>
      </c>
      <c r="C19" s="531">
        <f>8695415.27667665+31894686.5906094</f>
        <v>40590101.867286049</v>
      </c>
      <c r="D19" s="531">
        <f>212610.336109391+508445.499507949</f>
        <v>721055.83561733994</v>
      </c>
      <c r="E19" s="531">
        <f>455789.995734883+1089995.7936801</f>
        <v>1545785.789414983</v>
      </c>
      <c r="F19" s="531">
        <f>36466.9185437897+87208.5569958978</f>
        <v>123675.4755396875</v>
      </c>
      <c r="G19" s="722">
        <f>SUM(C19:F19)</f>
        <v>42980618.967858054</v>
      </c>
      <c r="H19" s="653">
        <v>5</v>
      </c>
      <c r="I19" s="723" t="s">
        <v>435</v>
      </c>
      <c r="J19" s="502">
        <f>G19/H19</f>
        <v>8596123.79357161</v>
      </c>
      <c r="K19" s="724">
        <v>45965176.442171447</v>
      </c>
      <c r="L19" s="724">
        <v>1058599.3728648534</v>
      </c>
      <c r="M19" s="724">
        <v>1009224.1572035605</v>
      </c>
      <c r="N19" s="724">
        <v>89595.470137812212</v>
      </c>
      <c r="O19" s="618">
        <f t="shared" si="3"/>
        <v>48122595.442377672</v>
      </c>
      <c r="P19" s="622">
        <v>6</v>
      </c>
      <c r="Q19" s="623" t="s">
        <v>435</v>
      </c>
      <c r="R19" s="621">
        <f t="shared" si="4"/>
        <v>8020432.5737296119</v>
      </c>
      <c r="S19" s="498">
        <f t="shared" si="5"/>
        <v>11.963477022899349</v>
      </c>
      <c r="T19" s="498">
        <f t="shared" si="10"/>
        <v>20</v>
      </c>
      <c r="U19" s="498">
        <f t="shared" si="7"/>
        <v>-6.6971024809172013</v>
      </c>
    </row>
    <row r="20" spans="1:21" s="505" customFormat="1" ht="21.75" customHeight="1">
      <c r="A20" s="499" t="s">
        <v>388</v>
      </c>
      <c r="B20" s="507" t="s">
        <v>424</v>
      </c>
      <c r="C20" s="497">
        <f>6844209.06672855+256000397.747408</f>
        <v>262844606.81413656</v>
      </c>
      <c r="D20" s="497">
        <f>91812.8610623866+3927453.74455024</f>
        <v>4019266.6056126268</v>
      </c>
      <c r="E20" s="497">
        <f>196826.665710652+16066178.9110428</f>
        <v>16263005.576753452</v>
      </c>
      <c r="F20" s="497">
        <f>15747.7392063934+79962892.6244478</f>
        <v>79978640.363654181</v>
      </c>
      <c r="G20" s="494">
        <f t="shared" si="1"/>
        <v>363105519.36015683</v>
      </c>
      <c r="H20" s="653">
        <v>8690</v>
      </c>
      <c r="I20" s="501" t="s">
        <v>435</v>
      </c>
      <c r="J20" s="504">
        <f t="shared" si="2"/>
        <v>41784.294517854643</v>
      </c>
      <c r="K20" s="617">
        <v>330615912.58812624</v>
      </c>
      <c r="L20" s="617">
        <v>7293738.9232566105</v>
      </c>
      <c r="M20" s="617">
        <v>44121049.128294669</v>
      </c>
      <c r="N20" s="617">
        <v>58901541.536795631</v>
      </c>
      <c r="O20" s="618">
        <f t="shared" si="3"/>
        <v>440932242.17647314</v>
      </c>
      <c r="P20" s="624">
        <v>8905</v>
      </c>
      <c r="Q20" s="625" t="s">
        <v>435</v>
      </c>
      <c r="R20" s="621">
        <f t="shared" si="4"/>
        <v>49515.131069789233</v>
      </c>
      <c r="S20" s="498">
        <f t="shared" si="5"/>
        <v>21.433638065722047</v>
      </c>
      <c r="T20" s="498">
        <f t="shared" si="10"/>
        <v>2.4741081703107017</v>
      </c>
      <c r="U20" s="498">
        <f t="shared" si="7"/>
        <v>18.501775945101009</v>
      </c>
    </row>
    <row r="21" spans="1:21" s="509" customFormat="1" ht="20.100000000000001" customHeight="1">
      <c r="A21" s="508" t="s">
        <v>389</v>
      </c>
      <c r="B21" s="500" t="s">
        <v>346</v>
      </c>
      <c r="C21" s="493">
        <v>288217702.99054724</v>
      </c>
      <c r="D21" s="493">
        <v>3837787.8919311618</v>
      </c>
      <c r="E21" s="493">
        <v>15873954.96120723</v>
      </c>
      <c r="F21" s="493">
        <v>79947513.140065938</v>
      </c>
      <c r="G21" s="494">
        <f t="shared" si="1"/>
        <v>387876958.98375154</v>
      </c>
      <c r="H21" s="653">
        <v>650</v>
      </c>
      <c r="I21" s="501" t="s">
        <v>436</v>
      </c>
      <c r="J21" s="502">
        <f t="shared" si="2"/>
        <v>596733.78305192548</v>
      </c>
      <c r="K21" s="617">
        <v>365791334.34366918</v>
      </c>
      <c r="L21" s="617">
        <v>7558388.7664728248</v>
      </c>
      <c r="M21" s="617">
        <v>44373355.167595558</v>
      </c>
      <c r="N21" s="617">
        <v>58923940.40433009</v>
      </c>
      <c r="O21" s="618">
        <f t="shared" si="3"/>
        <v>476647018.68206763</v>
      </c>
      <c r="P21" s="622">
        <v>725</v>
      </c>
      <c r="Q21" s="626" t="s">
        <v>436</v>
      </c>
      <c r="R21" s="621">
        <f t="shared" si="4"/>
        <v>657444.16369940364</v>
      </c>
      <c r="S21" s="498">
        <f t="shared" si="5"/>
        <v>22.886138926863854</v>
      </c>
      <c r="T21" s="498">
        <f t="shared" si="10"/>
        <v>11.538461538461538</v>
      </c>
      <c r="U21" s="498">
        <f t="shared" ref="U21" si="11">(((R21-J21)/J21)*100)</f>
        <v>10.173779727533102</v>
      </c>
    </row>
    <row r="22" spans="1:21" s="505" customFormat="1" ht="21.75" hidden="1" customHeight="1">
      <c r="A22" s="499" t="s">
        <v>390</v>
      </c>
      <c r="B22" s="503" t="s">
        <v>425</v>
      </c>
      <c r="C22" s="497"/>
      <c r="D22" s="497"/>
      <c r="E22" s="497"/>
      <c r="F22" s="497"/>
      <c r="G22" s="494">
        <f t="shared" si="1"/>
        <v>0</v>
      </c>
      <c r="H22" s="653"/>
      <c r="I22" s="501"/>
      <c r="J22" s="504"/>
      <c r="K22" s="617"/>
      <c r="L22" s="617"/>
      <c r="M22" s="617"/>
      <c r="N22" s="617"/>
      <c r="O22" s="618">
        <f t="shared" si="3"/>
        <v>0</v>
      </c>
      <c r="P22" s="624"/>
      <c r="Q22" s="625" t="s">
        <v>254</v>
      </c>
      <c r="R22" s="621"/>
      <c r="S22" s="498" t="e">
        <f t="shared" si="5"/>
        <v>#DIV/0!</v>
      </c>
      <c r="T22" s="498" t="e">
        <f t="shared" si="10"/>
        <v>#DIV/0!</v>
      </c>
      <c r="U22" s="498" t="e">
        <f>(((R22-J22)/J22)*100)</f>
        <v>#DIV/0!</v>
      </c>
    </row>
    <row r="23" spans="1:21" ht="20.100000000000001" hidden="1" customHeight="1">
      <c r="A23" s="499" t="s">
        <v>391</v>
      </c>
      <c r="B23" s="500" t="s">
        <v>336</v>
      </c>
      <c r="C23" s="493"/>
      <c r="D23" s="493"/>
      <c r="E23" s="493"/>
      <c r="F23" s="493"/>
      <c r="G23" s="494">
        <f t="shared" si="1"/>
        <v>0</v>
      </c>
      <c r="H23" s="653">
        <v>32</v>
      </c>
      <c r="I23" s="501" t="s">
        <v>435</v>
      </c>
      <c r="J23" s="502">
        <f t="shared" si="2"/>
        <v>0</v>
      </c>
      <c r="K23" s="617"/>
      <c r="L23" s="617"/>
      <c r="M23" s="617"/>
      <c r="N23" s="617"/>
      <c r="O23" s="618">
        <f t="shared" si="3"/>
        <v>0</v>
      </c>
      <c r="P23" s="622"/>
      <c r="Q23" s="623" t="s">
        <v>435</v>
      </c>
      <c r="R23" s="621"/>
      <c r="S23" s="498" t="e">
        <f t="shared" ref="S23:S28" si="12">(((O23-G23)/G23)*100)</f>
        <v>#DIV/0!</v>
      </c>
      <c r="T23" s="498">
        <f t="shared" si="10"/>
        <v>-100</v>
      </c>
      <c r="U23" s="498" t="e">
        <f t="shared" ref="U23:U28" si="13">(((R23-J23)/J23)*100)</f>
        <v>#DIV/0!</v>
      </c>
    </row>
    <row r="24" spans="1:21" s="704" customFormat="1" ht="20.100000000000001" customHeight="1">
      <c r="A24" s="692" t="s">
        <v>392</v>
      </c>
      <c r="B24" s="693" t="s">
        <v>426</v>
      </c>
      <c r="C24" s="694">
        <f>4361627.55028258+13893923.8541613</f>
        <v>18255551.404443879</v>
      </c>
      <c r="D24" s="694">
        <f>131491.426192845+394967.371426757</f>
        <v>526458.79761960206</v>
      </c>
      <c r="E24" s="694">
        <f>307076.331325466+922380.530218868</f>
        <v>1229456.8615443341</v>
      </c>
      <c r="F24" s="694">
        <f>20168.2082116739+60580.2554158154</f>
        <v>80748.463627489298</v>
      </c>
      <c r="G24" s="695">
        <f t="shared" si="1"/>
        <v>20092215.527235307</v>
      </c>
      <c r="H24" s="675">
        <v>471</v>
      </c>
      <c r="I24" s="696" t="s">
        <v>254</v>
      </c>
      <c r="J24" s="697">
        <f t="shared" si="2"/>
        <v>42658.631692643961</v>
      </c>
      <c r="K24" s="698">
        <v>32219970.172389489</v>
      </c>
      <c r="L24" s="698">
        <v>1095585.8506937008</v>
      </c>
      <c r="M24" s="698">
        <v>1088794.4832683895</v>
      </c>
      <c r="N24" s="698">
        <v>77695.529546253209</v>
      </c>
      <c r="O24" s="699">
        <f t="shared" si="3"/>
        <v>34482046.035897829</v>
      </c>
      <c r="P24" s="700">
        <v>2415</v>
      </c>
      <c r="Q24" s="701" t="s">
        <v>254</v>
      </c>
      <c r="R24" s="702">
        <f t="shared" si="4"/>
        <v>14278.27993204879</v>
      </c>
      <c r="S24" s="703">
        <f t="shared" si="12"/>
        <v>71.618933656952294</v>
      </c>
      <c r="T24" s="703">
        <f t="shared" si="10"/>
        <v>412.73885350318471</v>
      </c>
      <c r="U24" s="703">
        <f t="shared" si="13"/>
        <v>-66.528978156345957</v>
      </c>
    </row>
    <row r="25" spans="1:21" s="704" customFormat="1" ht="20.100000000000001" customHeight="1">
      <c r="A25" s="692" t="s">
        <v>393</v>
      </c>
      <c r="B25" s="693" t="s">
        <v>427</v>
      </c>
      <c r="C25" s="694">
        <v>4345271.4469690165</v>
      </c>
      <c r="D25" s="694">
        <v>130998.33334462145</v>
      </c>
      <c r="E25" s="694">
        <v>305924.79508299532</v>
      </c>
      <c r="F25" s="694">
        <v>20092.577430880083</v>
      </c>
      <c r="G25" s="695">
        <f t="shared" si="1"/>
        <v>4802287.1528275134</v>
      </c>
      <c r="H25" s="675">
        <v>26000</v>
      </c>
      <c r="I25" s="696" t="s">
        <v>274</v>
      </c>
      <c r="J25" s="697">
        <f t="shared" si="2"/>
        <v>184.70335203182745</v>
      </c>
      <c r="K25" s="698">
        <v>7078708.3549147649</v>
      </c>
      <c r="L25" s="698">
        <v>240494.45503032452</v>
      </c>
      <c r="M25" s="698">
        <v>239003.66705891478</v>
      </c>
      <c r="N25" s="698">
        <v>17055.116241860462</v>
      </c>
      <c r="O25" s="699">
        <f t="shared" si="3"/>
        <v>7575261.5932458648</v>
      </c>
      <c r="P25" s="700">
        <v>26000</v>
      </c>
      <c r="Q25" s="701" t="s">
        <v>274</v>
      </c>
      <c r="R25" s="702">
        <f t="shared" si="4"/>
        <v>291.35621512484096</v>
      </c>
      <c r="S25" s="703">
        <f t="shared" si="12"/>
        <v>57.742786971530144</v>
      </c>
      <c r="T25" s="703">
        <f t="shared" si="10"/>
        <v>0</v>
      </c>
      <c r="U25" s="703">
        <f t="shared" si="13"/>
        <v>57.742786971530137</v>
      </c>
    </row>
    <row r="26" spans="1:21" ht="20.100000000000001" hidden="1" customHeight="1">
      <c r="A26" s="499" t="s">
        <v>394</v>
      </c>
      <c r="B26" s="500" t="s">
        <v>428</v>
      </c>
      <c r="C26" s="493"/>
      <c r="D26" s="493"/>
      <c r="E26" s="493"/>
      <c r="F26" s="493"/>
      <c r="G26" s="494">
        <f t="shared" si="1"/>
        <v>0</v>
      </c>
      <c r="H26" s="653">
        <v>762</v>
      </c>
      <c r="I26" s="501" t="s">
        <v>254</v>
      </c>
      <c r="J26" s="502">
        <f t="shared" si="2"/>
        <v>0</v>
      </c>
      <c r="K26" s="617"/>
      <c r="L26" s="617"/>
      <c r="M26" s="617"/>
      <c r="N26" s="617"/>
      <c r="O26" s="618"/>
      <c r="P26" s="622"/>
      <c r="Q26" s="623" t="s">
        <v>254</v>
      </c>
      <c r="R26" s="621"/>
      <c r="S26" s="498" t="e">
        <f t="shared" si="12"/>
        <v>#DIV/0!</v>
      </c>
      <c r="T26" s="498">
        <f t="shared" si="10"/>
        <v>-100</v>
      </c>
      <c r="U26" s="498" t="e">
        <f t="shared" si="13"/>
        <v>#DIV/0!</v>
      </c>
    </row>
    <row r="27" spans="1:21" ht="20.100000000000001" hidden="1" customHeight="1">
      <c r="A27" s="499" t="s">
        <v>395</v>
      </c>
      <c r="B27" s="500" t="s">
        <v>255</v>
      </c>
      <c r="C27" s="493"/>
      <c r="D27" s="493"/>
      <c r="E27" s="493"/>
      <c r="F27" s="493"/>
      <c r="G27" s="494">
        <f t="shared" si="1"/>
        <v>0</v>
      </c>
      <c r="H27" s="653">
        <v>25</v>
      </c>
      <c r="I27" s="501" t="s">
        <v>254</v>
      </c>
      <c r="J27" s="502">
        <f t="shared" si="2"/>
        <v>0</v>
      </c>
      <c r="K27" s="617"/>
      <c r="L27" s="617"/>
      <c r="M27" s="617"/>
      <c r="N27" s="617"/>
      <c r="O27" s="618"/>
      <c r="P27" s="622"/>
      <c r="Q27" s="623" t="s">
        <v>254</v>
      </c>
      <c r="R27" s="621"/>
      <c r="S27" s="498" t="e">
        <f t="shared" si="12"/>
        <v>#DIV/0!</v>
      </c>
      <c r="T27" s="498">
        <f t="shared" si="10"/>
        <v>-100</v>
      </c>
      <c r="U27" s="498" t="e">
        <f t="shared" si="13"/>
        <v>#DIV/0!</v>
      </c>
    </row>
    <row r="28" spans="1:21" ht="20.100000000000001" hidden="1" customHeight="1">
      <c r="A28" s="499" t="s">
        <v>396</v>
      </c>
      <c r="B28" s="500" t="s">
        <v>429</v>
      </c>
      <c r="C28" s="493"/>
      <c r="D28" s="493"/>
      <c r="E28" s="493"/>
      <c r="F28" s="493"/>
      <c r="G28" s="494">
        <f t="shared" si="1"/>
        <v>0</v>
      </c>
      <c r="H28" s="653">
        <v>795</v>
      </c>
      <c r="I28" s="501" t="s">
        <v>254</v>
      </c>
      <c r="J28" s="502">
        <f t="shared" si="2"/>
        <v>0</v>
      </c>
      <c r="K28" s="617"/>
      <c r="L28" s="617"/>
      <c r="M28" s="617"/>
      <c r="N28" s="617"/>
      <c r="O28" s="618"/>
      <c r="P28" s="622"/>
      <c r="Q28" s="623" t="s">
        <v>254</v>
      </c>
      <c r="R28" s="621"/>
      <c r="S28" s="498" t="e">
        <f t="shared" si="12"/>
        <v>#DIV/0!</v>
      </c>
      <c r="T28" s="498">
        <f t="shared" si="10"/>
        <v>-100</v>
      </c>
      <c r="U28" s="498" t="e">
        <f t="shared" si="13"/>
        <v>#DIV/0!</v>
      </c>
    </row>
    <row r="29" spans="1:21" s="488" customFormat="1" ht="20.100000000000001" customHeight="1">
      <c r="A29" s="510"/>
      <c r="B29" s="511" t="s">
        <v>341</v>
      </c>
      <c r="C29" s="512">
        <f>SUM(C6:C28)</f>
        <v>1706279191.6475134</v>
      </c>
      <c r="D29" s="513">
        <f>SUM(D6:D28)</f>
        <v>28060099.60332083</v>
      </c>
      <c r="E29" s="513">
        <f>SUM(E6:E28)</f>
        <v>105250651.55966127</v>
      </c>
      <c r="F29" s="513">
        <f>SUM(F6:F28)</f>
        <v>480915673.97149062</v>
      </c>
      <c r="G29" s="514">
        <f>SUM(G6:G28)</f>
        <v>2320505616.7819867</v>
      </c>
      <c r="H29" s="515"/>
      <c r="I29" s="516"/>
      <c r="J29" s="517"/>
      <c r="K29" s="627">
        <f>SUM(K6:K28)</f>
        <v>2134465603.9700086</v>
      </c>
      <c r="L29" s="627">
        <f t="shared" ref="L29:N29" si="14">SUM(L6:L28)</f>
        <v>51375293.397258304</v>
      </c>
      <c r="M29" s="627">
        <f t="shared" si="14"/>
        <v>266056974.31034783</v>
      </c>
      <c r="N29" s="627">
        <f t="shared" si="14"/>
        <v>346058335.54489458</v>
      </c>
      <c r="O29" s="627">
        <f>SUM(K29:N29)</f>
        <v>2797956207.2225099</v>
      </c>
      <c r="P29" s="628"/>
      <c r="Q29" s="629"/>
      <c r="R29" s="630"/>
      <c r="S29" s="498"/>
      <c r="T29" s="498"/>
      <c r="U29" s="498"/>
    </row>
    <row r="30" spans="1:21" s="518" customFormat="1" ht="20.100000000000001" customHeight="1">
      <c r="A30" s="560" t="s">
        <v>256</v>
      </c>
      <c r="B30" s="561"/>
      <c r="C30" s="561"/>
      <c r="D30" s="561"/>
      <c r="E30" s="561"/>
      <c r="F30" s="561"/>
      <c r="G30" s="561"/>
      <c r="H30" s="561"/>
      <c r="I30" s="561"/>
      <c r="J30" s="561"/>
      <c r="K30" s="631"/>
      <c r="L30" s="631"/>
      <c r="M30" s="631"/>
      <c r="N30" s="631"/>
      <c r="O30" s="631"/>
      <c r="P30" s="631"/>
      <c r="Q30" s="631"/>
      <c r="R30" s="631"/>
      <c r="S30" s="561"/>
      <c r="T30" s="561"/>
      <c r="U30" s="562"/>
    </row>
    <row r="31" spans="1:21" s="553" customFormat="1" ht="20.100000000000001" customHeight="1">
      <c r="A31" s="547" t="s">
        <v>354</v>
      </c>
      <c r="B31" s="548" t="s">
        <v>257</v>
      </c>
      <c r="C31" s="760">
        <v>271963078.69411266</v>
      </c>
      <c r="D31" s="760">
        <v>4620827.9613470957</v>
      </c>
      <c r="E31" s="760">
        <v>17497492.607396591</v>
      </c>
      <c r="F31" s="760">
        <v>87077169.234179288</v>
      </c>
      <c r="G31" s="761">
        <f t="shared" ref="G31:G59" si="15">SUM(C31:F31)</f>
        <v>381158568.49703562</v>
      </c>
      <c r="H31" s="654">
        <v>122927</v>
      </c>
      <c r="I31" s="765" t="s">
        <v>461</v>
      </c>
      <c r="J31" s="551">
        <f>G31/H31</f>
        <v>3100.6903975289042</v>
      </c>
      <c r="K31" s="632">
        <v>333408178.44353551</v>
      </c>
      <c r="L31" s="632">
        <v>10319235.789698504</v>
      </c>
      <c r="M31" s="632">
        <v>45788040.371103548</v>
      </c>
      <c r="N31" s="632">
        <v>68389319.586380735</v>
      </c>
      <c r="O31" s="632">
        <f>SUM(K31:N31)</f>
        <v>457904774.19071823</v>
      </c>
      <c r="P31" s="633">
        <v>183194</v>
      </c>
      <c r="Q31" s="766" t="s">
        <v>461</v>
      </c>
      <c r="R31" s="634">
        <f>O31/P31</f>
        <v>2499.5620718512519</v>
      </c>
      <c r="S31" s="552">
        <f t="shared" ref="S31:S51" si="16">(((O31-G31)/G31)*100)</f>
        <v>20.134981091020517</v>
      </c>
      <c r="T31" s="552">
        <f t="shared" ref="T31:T51" si="17">(((P31-H31)/H31)*100)</f>
        <v>49.026658097895499</v>
      </c>
      <c r="U31" s="552">
        <f t="shared" ref="U31:U51" si="18">(((R31-J31)/J31)*100)</f>
        <v>-19.386918673232312</v>
      </c>
    </row>
    <row r="32" spans="1:21" s="553" customFormat="1" ht="20.100000000000001" customHeight="1">
      <c r="A32" s="547" t="s">
        <v>355</v>
      </c>
      <c r="B32" s="548" t="s">
        <v>401</v>
      </c>
      <c r="C32" s="549">
        <v>264462241.89990211</v>
      </c>
      <c r="D32" s="549">
        <v>4396634.2071748655</v>
      </c>
      <c r="E32" s="549">
        <v>17030652.491529934</v>
      </c>
      <c r="F32" s="549">
        <v>85289878.256955177</v>
      </c>
      <c r="G32" s="471">
        <f t="shared" si="15"/>
        <v>371179406.85556209</v>
      </c>
      <c r="H32" s="654">
        <v>17355</v>
      </c>
      <c r="I32" s="550" t="s">
        <v>462</v>
      </c>
      <c r="J32" s="551">
        <f t="shared" ref="J32:J59" si="19">G32/H32</f>
        <v>21387.462221582373</v>
      </c>
      <c r="K32" s="632">
        <v>328431830.44941175</v>
      </c>
      <c r="L32" s="632">
        <v>9430536.6514799204</v>
      </c>
      <c r="M32" s="632">
        <v>45245139.540750884</v>
      </c>
      <c r="N32" s="632">
        <v>66006175.640217245</v>
      </c>
      <c r="O32" s="632">
        <f t="shared" ref="O32:O37" si="20">SUM(K32:N32)</f>
        <v>449113682.28185976</v>
      </c>
      <c r="P32" s="641">
        <v>22087</v>
      </c>
      <c r="Q32" s="635" t="s">
        <v>462</v>
      </c>
      <c r="R32" s="634">
        <f t="shared" ref="R32:R58" si="21">O32/P32</f>
        <v>20333.847162668528</v>
      </c>
      <c r="S32" s="552">
        <f t="shared" si="16"/>
        <v>20.996389882325666</v>
      </c>
      <c r="T32" s="552">
        <f t="shared" si="17"/>
        <v>27.265917602996254</v>
      </c>
      <c r="U32" s="552">
        <f t="shared" si="18"/>
        <v>-4.9263210753944815</v>
      </c>
    </row>
    <row r="33" spans="1:21" s="710" customFormat="1" ht="20.100000000000001" customHeight="1">
      <c r="A33" s="706" t="s">
        <v>356</v>
      </c>
      <c r="B33" s="707" t="s">
        <v>402</v>
      </c>
      <c r="C33" s="681">
        <v>34029225.093100823</v>
      </c>
      <c r="D33" s="681">
        <v>280220.39018225693</v>
      </c>
      <c r="E33" s="681">
        <v>1734092.1781825423</v>
      </c>
      <c r="F33" s="681">
        <v>452829.38632977515</v>
      </c>
      <c r="G33" s="682">
        <f t="shared" si="15"/>
        <v>36496367.0477954</v>
      </c>
      <c r="H33" s="683">
        <v>3886</v>
      </c>
      <c r="I33" s="684" t="s">
        <v>463</v>
      </c>
      <c r="J33" s="708">
        <f t="shared" si="19"/>
        <v>9391.7568316509005</v>
      </c>
      <c r="K33" s="709">
        <v>40411211.761434577</v>
      </c>
      <c r="L33" s="709">
        <v>2862618.4828790575</v>
      </c>
      <c r="M33" s="709">
        <v>2952486.975736435</v>
      </c>
      <c r="N33" s="709">
        <v>386289.94302325533</v>
      </c>
      <c r="O33" s="709">
        <f t="shared" si="20"/>
        <v>46612607.163073324</v>
      </c>
      <c r="P33" s="641">
        <v>3904</v>
      </c>
      <c r="Q33" s="676" t="s">
        <v>463</v>
      </c>
      <c r="R33" s="677">
        <f t="shared" si="21"/>
        <v>11939.704703656076</v>
      </c>
      <c r="S33" s="678">
        <f t="shared" si="16"/>
        <v>27.718485245475975</v>
      </c>
      <c r="T33" s="678">
        <f t="shared" si="17"/>
        <v>0.46320123520329387</v>
      </c>
      <c r="U33" s="678">
        <f t="shared" si="18"/>
        <v>27.129619278667938</v>
      </c>
    </row>
    <row r="34" spans="1:21" s="553" customFormat="1" ht="20.100000000000001" customHeight="1">
      <c r="A34" s="547" t="s">
        <v>357</v>
      </c>
      <c r="B34" s="548" t="s">
        <v>403</v>
      </c>
      <c r="C34" s="549">
        <v>28023238.41404729</v>
      </c>
      <c r="D34" s="549">
        <v>367793.21032979642</v>
      </c>
      <c r="E34" s="549">
        <v>749723.74889499799</v>
      </c>
      <c r="F34" s="549">
        <v>1460682.8687665507</v>
      </c>
      <c r="G34" s="471">
        <f t="shared" si="15"/>
        <v>30601438.242038634</v>
      </c>
      <c r="H34" s="654">
        <v>1970</v>
      </c>
      <c r="I34" s="550" t="s">
        <v>464</v>
      </c>
      <c r="J34" s="551">
        <f t="shared" si="19"/>
        <v>15533.724995958697</v>
      </c>
      <c r="K34" s="632">
        <v>24390971.760787986</v>
      </c>
      <c r="L34" s="632">
        <v>1372811.978579646</v>
      </c>
      <c r="M34" s="632">
        <v>1101816.026151163</v>
      </c>
      <c r="N34" s="632">
        <v>1851711.5433837206</v>
      </c>
      <c r="O34" s="632">
        <f t="shared" si="20"/>
        <v>28717311.308902517</v>
      </c>
      <c r="P34" s="641">
        <v>2068</v>
      </c>
      <c r="Q34" s="676" t="s">
        <v>464</v>
      </c>
      <c r="R34" s="677">
        <f t="shared" si="21"/>
        <v>13886.514172583422</v>
      </c>
      <c r="S34" s="678">
        <f t="shared" si="16"/>
        <v>-6.1569881723657129</v>
      </c>
      <c r="T34" s="678">
        <f t="shared" si="17"/>
        <v>4.9746192893401018</v>
      </c>
      <c r="U34" s="678">
        <f t="shared" si="18"/>
        <v>-10.604094148723624</v>
      </c>
    </row>
    <row r="35" spans="1:21" s="509" customFormat="1" ht="20.100000000000001" customHeight="1">
      <c r="A35" s="508" t="s">
        <v>358</v>
      </c>
      <c r="B35" s="519" t="s">
        <v>337</v>
      </c>
      <c r="C35" s="493">
        <v>20432335.635252737</v>
      </c>
      <c r="D35" s="493">
        <v>366229.89377132506</v>
      </c>
      <c r="E35" s="493">
        <v>746537.02462166012</v>
      </c>
      <c r="F35" s="493">
        <v>1454474.1904895082</v>
      </c>
      <c r="G35" s="494">
        <f t="shared" si="15"/>
        <v>22999576.744135231</v>
      </c>
      <c r="H35" s="653">
        <v>13</v>
      </c>
      <c r="I35" s="501" t="s">
        <v>252</v>
      </c>
      <c r="J35" s="520">
        <f t="shared" si="19"/>
        <v>1769198.2110873254</v>
      </c>
      <c r="K35" s="632">
        <v>16132311.936168436</v>
      </c>
      <c r="L35" s="632">
        <v>1067742.6500063916</v>
      </c>
      <c r="M35" s="632">
        <v>856968.02033979353</v>
      </c>
      <c r="N35" s="632">
        <v>1440220.0892984495</v>
      </c>
      <c r="O35" s="632">
        <f t="shared" si="20"/>
        <v>19497242.695813071</v>
      </c>
      <c r="P35" s="633">
        <v>11</v>
      </c>
      <c r="Q35" s="635" t="s">
        <v>252</v>
      </c>
      <c r="R35" s="634">
        <f t="shared" si="21"/>
        <v>1772476.6087102792</v>
      </c>
      <c r="S35" s="498">
        <f t="shared" si="16"/>
        <v>-15.227819569398104</v>
      </c>
      <c r="T35" s="498">
        <f t="shared" si="17"/>
        <v>-15.384615384615385</v>
      </c>
      <c r="U35" s="498">
        <f t="shared" si="18"/>
        <v>0.18530414525679453</v>
      </c>
    </row>
    <row r="36" spans="1:21" s="509" customFormat="1" ht="20.100000000000001" customHeight="1">
      <c r="A36" s="508" t="s">
        <v>359</v>
      </c>
      <c r="B36" s="519" t="s">
        <v>404</v>
      </c>
      <c r="C36" s="493">
        <v>10632218.833964854</v>
      </c>
      <c r="D36" s="493">
        <v>185574.87147031611</v>
      </c>
      <c r="E36" s="493">
        <v>378282.9166821118</v>
      </c>
      <c r="F36" s="493">
        <v>737006.6331218651</v>
      </c>
      <c r="G36" s="494">
        <f t="shared" si="15"/>
        <v>11933083.255239146</v>
      </c>
      <c r="H36" s="653">
        <v>35</v>
      </c>
      <c r="I36" s="501" t="s">
        <v>250</v>
      </c>
      <c r="J36" s="520">
        <f t="shared" si="19"/>
        <v>340945.2358639756</v>
      </c>
      <c r="K36" s="632">
        <v>9172372.7492391057</v>
      </c>
      <c r="L36" s="632">
        <v>610138.6571465095</v>
      </c>
      <c r="M36" s="632">
        <v>489696.01162273908</v>
      </c>
      <c r="N36" s="632">
        <v>822982.90817054245</v>
      </c>
      <c r="O36" s="632">
        <f t="shared" si="20"/>
        <v>11095190.326178897</v>
      </c>
      <c r="P36" s="633">
        <v>31</v>
      </c>
      <c r="Q36" s="636" t="s">
        <v>250</v>
      </c>
      <c r="R36" s="634">
        <f t="shared" si="21"/>
        <v>357909.3653606096</v>
      </c>
      <c r="S36" s="498">
        <f t="shared" si="16"/>
        <v>-7.0215962726345431</v>
      </c>
      <c r="T36" s="498">
        <f t="shared" si="17"/>
        <v>-11.428571428571429</v>
      </c>
      <c r="U36" s="498">
        <f t="shared" si="18"/>
        <v>4.9756171115416494</v>
      </c>
    </row>
    <row r="37" spans="1:21" s="553" customFormat="1" ht="20.100000000000001" customHeight="1">
      <c r="A37" s="547" t="s">
        <v>360</v>
      </c>
      <c r="B37" s="548" t="s">
        <v>405</v>
      </c>
      <c r="C37" s="760">
        <v>16740265.26</v>
      </c>
      <c r="D37" s="760">
        <v>405214.81</v>
      </c>
      <c r="E37" s="760">
        <v>1262499.3400000001</v>
      </c>
      <c r="F37" s="760">
        <v>5057695.3499999996</v>
      </c>
      <c r="G37" s="760">
        <f>SUM(C37:F37)</f>
        <v>23465674.759999998</v>
      </c>
      <c r="H37" s="654">
        <v>35025</v>
      </c>
      <c r="I37" s="763" t="s">
        <v>465</v>
      </c>
      <c r="J37" s="551">
        <f t="shared" si="19"/>
        <v>669.96930078515345</v>
      </c>
      <c r="K37" s="632">
        <v>22616421.393657792</v>
      </c>
      <c r="L37" s="632">
        <v>591769.39565728826</v>
      </c>
      <c r="M37" s="632">
        <v>2967508.452822506</v>
      </c>
      <c r="N37" s="632">
        <v>3761252.0252916054</v>
      </c>
      <c r="O37" s="632">
        <f t="shared" si="20"/>
        <v>29936951.267429195</v>
      </c>
      <c r="P37" s="633">
        <v>53828</v>
      </c>
      <c r="Q37" s="758" t="s">
        <v>465</v>
      </c>
      <c r="R37" s="634">
        <f t="shared" si="21"/>
        <v>556.15945729785972</v>
      </c>
      <c r="S37" s="552">
        <f t="shared" si="16"/>
        <v>27.577628061479182</v>
      </c>
      <c r="T37" s="552">
        <f t="shared" si="17"/>
        <v>53.684511063526053</v>
      </c>
      <c r="U37" s="552">
        <f t="shared" si="18"/>
        <v>-16.987322158480573</v>
      </c>
    </row>
    <row r="38" spans="1:21" s="509" customFormat="1" ht="20.100000000000001" hidden="1" customHeight="1">
      <c r="A38" s="522" t="s">
        <v>454</v>
      </c>
      <c r="B38" s="519" t="s">
        <v>475</v>
      </c>
      <c r="C38" s="493">
        <v>382113.56811315753</v>
      </c>
      <c r="D38" s="493">
        <v>50897.173769180525</v>
      </c>
      <c r="E38" s="493">
        <v>82153.920713974658</v>
      </c>
      <c r="F38" s="493">
        <v>602.47934226663654</v>
      </c>
      <c r="G38" s="494">
        <f t="shared" si="15"/>
        <v>515767.14193857933</v>
      </c>
      <c r="H38" s="653">
        <v>15749</v>
      </c>
      <c r="I38" s="521" t="s">
        <v>460</v>
      </c>
      <c r="J38" s="520">
        <f t="shared" si="19"/>
        <v>32.74919943733439</v>
      </c>
      <c r="K38" s="632"/>
      <c r="L38" s="632"/>
      <c r="M38" s="632"/>
      <c r="N38" s="632"/>
      <c r="O38" s="632"/>
      <c r="P38" s="633"/>
      <c r="Q38" s="636"/>
      <c r="R38" s="634"/>
      <c r="S38" s="498">
        <f t="shared" si="16"/>
        <v>-100</v>
      </c>
      <c r="T38" s="498">
        <f t="shared" si="17"/>
        <v>-100</v>
      </c>
      <c r="U38" s="498">
        <f t="shared" si="18"/>
        <v>-100</v>
      </c>
    </row>
    <row r="39" spans="1:21" s="509" customFormat="1" ht="20.100000000000001" hidden="1" customHeight="1">
      <c r="A39" s="522" t="s">
        <v>455</v>
      </c>
      <c r="B39" s="519" t="s">
        <v>476</v>
      </c>
      <c r="C39" s="493">
        <v>331165.09236473648</v>
      </c>
      <c r="D39" s="493">
        <v>44110.883933289784</v>
      </c>
      <c r="E39" s="493">
        <v>71200.064618778037</v>
      </c>
      <c r="F39" s="493">
        <v>522.14876329775166</v>
      </c>
      <c r="G39" s="494">
        <f t="shared" si="15"/>
        <v>446998.18968010211</v>
      </c>
      <c r="H39" s="653">
        <v>4213</v>
      </c>
      <c r="I39" s="521" t="s">
        <v>460</v>
      </c>
      <c r="J39" s="520">
        <f t="shared" si="19"/>
        <v>106.0997364538576</v>
      </c>
      <c r="K39" s="632"/>
      <c r="L39" s="632"/>
      <c r="M39" s="632"/>
      <c r="N39" s="632"/>
      <c r="O39" s="632">
        <f t="shared" ref="O39:O59" si="22">SUM(K39:N39)</f>
        <v>0</v>
      </c>
      <c r="P39" s="633"/>
      <c r="Q39" s="636"/>
      <c r="R39" s="634"/>
      <c r="S39" s="498">
        <f t="shared" si="16"/>
        <v>-100</v>
      </c>
      <c r="T39" s="498">
        <f t="shared" si="17"/>
        <v>-100</v>
      </c>
      <c r="U39" s="498">
        <f t="shared" si="18"/>
        <v>-100</v>
      </c>
    </row>
    <row r="40" spans="1:21" s="509" customFormat="1" ht="20.100000000000001" hidden="1" customHeight="1">
      <c r="A40" s="522" t="s">
        <v>456</v>
      </c>
      <c r="B40" s="519" t="s">
        <v>477</v>
      </c>
      <c r="C40" s="493">
        <v>305690.85449052602</v>
      </c>
      <c r="D40" s="493">
        <v>40717.739015344421</v>
      </c>
      <c r="E40" s="493">
        <v>65723.136571179726</v>
      </c>
      <c r="F40" s="493">
        <v>481.98347381330916</v>
      </c>
      <c r="G40" s="494">
        <f t="shared" si="15"/>
        <v>412613.7135508635</v>
      </c>
      <c r="H40" s="653">
        <v>17462</v>
      </c>
      <c r="I40" s="521" t="s">
        <v>460</v>
      </c>
      <c r="J40" s="520">
        <f t="shared" si="19"/>
        <v>23.629235686110611</v>
      </c>
      <c r="K40" s="632"/>
      <c r="L40" s="632"/>
      <c r="M40" s="632"/>
      <c r="N40" s="632"/>
      <c r="O40" s="632">
        <f t="shared" si="22"/>
        <v>0</v>
      </c>
      <c r="P40" s="633"/>
      <c r="Q40" s="636"/>
      <c r="R40" s="634"/>
      <c r="S40" s="498">
        <f t="shared" si="16"/>
        <v>-100</v>
      </c>
      <c r="T40" s="498">
        <f t="shared" si="17"/>
        <v>-100</v>
      </c>
      <c r="U40" s="498">
        <f t="shared" si="18"/>
        <v>-100</v>
      </c>
    </row>
    <row r="41" spans="1:21" s="509" customFormat="1" ht="20.100000000000001" hidden="1" customHeight="1">
      <c r="A41" s="522" t="s">
        <v>457</v>
      </c>
      <c r="B41" s="519" t="s">
        <v>478</v>
      </c>
      <c r="C41" s="493">
        <v>254742.37874210504</v>
      </c>
      <c r="D41" s="493">
        <v>33931.449179453681</v>
      </c>
      <c r="E41" s="493">
        <v>54769.280475983105</v>
      </c>
      <c r="F41" s="493">
        <v>401.65289484442428</v>
      </c>
      <c r="G41" s="494">
        <f t="shared" si="15"/>
        <v>343844.76129238622</v>
      </c>
      <c r="H41" s="653">
        <v>36289</v>
      </c>
      <c r="I41" s="521" t="s">
        <v>460</v>
      </c>
      <c r="J41" s="520">
        <f t="shared" si="19"/>
        <v>9.4751787399042744</v>
      </c>
      <c r="K41" s="632"/>
      <c r="L41" s="632"/>
      <c r="M41" s="632"/>
      <c r="N41" s="632"/>
      <c r="O41" s="632">
        <f t="shared" si="22"/>
        <v>0</v>
      </c>
      <c r="P41" s="633"/>
      <c r="Q41" s="636"/>
      <c r="R41" s="634"/>
      <c r="S41" s="498">
        <f t="shared" si="16"/>
        <v>-100</v>
      </c>
      <c r="T41" s="498">
        <f t="shared" si="17"/>
        <v>-100</v>
      </c>
      <c r="U41" s="498">
        <f t="shared" si="18"/>
        <v>-100</v>
      </c>
    </row>
    <row r="42" spans="1:21" s="509" customFormat="1" ht="20.100000000000001" customHeight="1">
      <c r="A42" s="508" t="s">
        <v>361</v>
      </c>
      <c r="B42" s="519" t="s">
        <v>406</v>
      </c>
      <c r="C42" s="497">
        <v>4787847.9928403236</v>
      </c>
      <c r="D42" s="497">
        <v>219694.44469490155</v>
      </c>
      <c r="E42" s="497">
        <v>307449.0893686185</v>
      </c>
      <c r="F42" s="497">
        <v>12911.297106518281</v>
      </c>
      <c r="G42" s="494">
        <f t="shared" si="15"/>
        <v>5327902.8240103619</v>
      </c>
      <c r="H42" s="653">
        <v>1728</v>
      </c>
      <c r="I42" s="521" t="s">
        <v>460</v>
      </c>
      <c r="J42" s="520">
        <f>G42/H42</f>
        <v>3083.2770972282187</v>
      </c>
      <c r="K42" s="632">
        <v>5555606.6047228063</v>
      </c>
      <c r="L42" s="632">
        <v>279690.73250213044</v>
      </c>
      <c r="M42" s="632">
        <v>274050.75694659783</v>
      </c>
      <c r="N42" s="632">
        <v>5912.3237661498715</v>
      </c>
      <c r="O42" s="632">
        <f t="shared" si="22"/>
        <v>6115260.4179376848</v>
      </c>
      <c r="P42" s="633">
        <v>1659</v>
      </c>
      <c r="Q42" s="637" t="s">
        <v>460</v>
      </c>
      <c r="R42" s="634">
        <f t="shared" si="21"/>
        <v>3686.1123676538186</v>
      </c>
      <c r="S42" s="498">
        <f t="shared" si="16"/>
        <v>14.77800215084763</v>
      </c>
      <c r="T42" s="498">
        <f t="shared" si="17"/>
        <v>-3.9930555555555554</v>
      </c>
      <c r="U42" s="498">
        <f t="shared" si="18"/>
        <v>19.551770775566432</v>
      </c>
    </row>
    <row r="43" spans="1:21" s="509" customFormat="1" ht="20.100000000000001" customHeight="1">
      <c r="A43" s="508" t="s">
        <v>362</v>
      </c>
      <c r="B43" s="519" t="s">
        <v>338</v>
      </c>
      <c r="C43" s="493">
        <v>4827628.2004598891</v>
      </c>
      <c r="D43" s="493">
        <v>146581.37267664319</v>
      </c>
      <c r="E43" s="493">
        <v>389372.19332671678</v>
      </c>
      <c r="F43" s="493">
        <v>4374.7934226663638</v>
      </c>
      <c r="G43" s="494">
        <f t="shared" si="15"/>
        <v>5367956.5598859163</v>
      </c>
      <c r="H43" s="653">
        <v>1414</v>
      </c>
      <c r="I43" s="521" t="s">
        <v>250</v>
      </c>
      <c r="J43" s="520">
        <f t="shared" si="19"/>
        <v>3796.2917679532648</v>
      </c>
      <c r="K43" s="632">
        <v>5978350.7631358346</v>
      </c>
      <c r="L43" s="632">
        <v>439514.00821763364</v>
      </c>
      <c r="M43" s="632">
        <v>438517.79948751087</v>
      </c>
      <c r="N43" s="632">
        <v>5032.0344896640827</v>
      </c>
      <c r="O43" s="632">
        <f t="shared" si="22"/>
        <v>6861414.6053306432</v>
      </c>
      <c r="P43" s="633">
        <v>1428</v>
      </c>
      <c r="Q43" s="636" t="s">
        <v>250</v>
      </c>
      <c r="R43" s="634">
        <f t="shared" si="21"/>
        <v>4804.9121886068933</v>
      </c>
      <c r="S43" s="498">
        <f t="shared" si="16"/>
        <v>27.821723756208392</v>
      </c>
      <c r="T43" s="498">
        <f t="shared" si="17"/>
        <v>0.99009900990099009</v>
      </c>
      <c r="U43" s="498">
        <f t="shared" si="18"/>
        <v>26.568569601735771</v>
      </c>
    </row>
    <row r="44" spans="1:21" s="710" customFormat="1" ht="20.100000000000001" customHeight="1">
      <c r="A44" s="706" t="s">
        <v>363</v>
      </c>
      <c r="B44" s="707" t="s">
        <v>407</v>
      </c>
      <c r="C44" s="681">
        <v>21614340.253002804</v>
      </c>
      <c r="D44" s="681">
        <v>1548680.5638000155</v>
      </c>
      <c r="E44" s="681">
        <v>2836512.124240336</v>
      </c>
      <c r="F44" s="681">
        <v>175314.50816488749</v>
      </c>
      <c r="G44" s="682">
        <f t="shared" si="15"/>
        <v>26174847.44920804</v>
      </c>
      <c r="H44" s="683">
        <v>92190</v>
      </c>
      <c r="I44" s="711" t="s">
        <v>466</v>
      </c>
      <c r="J44" s="708">
        <f t="shared" si="19"/>
        <v>283.92284899889404</v>
      </c>
      <c r="K44" s="709">
        <v>31094234.236233585</v>
      </c>
      <c r="L44" s="709">
        <v>1638188.5860839076</v>
      </c>
      <c r="M44" s="709">
        <v>1761207.0035443585</v>
      </c>
      <c r="N44" s="709">
        <v>145986.11491602071</v>
      </c>
      <c r="O44" s="709">
        <f t="shared" si="22"/>
        <v>34639615.940777868</v>
      </c>
      <c r="P44" s="641">
        <v>94977</v>
      </c>
      <c r="Q44" s="712" t="s">
        <v>466</v>
      </c>
      <c r="R44" s="677">
        <f t="shared" si="21"/>
        <v>364.7158358421288</v>
      </c>
      <c r="S44" s="678">
        <f t="shared" si="16"/>
        <v>32.339323115428293</v>
      </c>
      <c r="T44" s="678">
        <f t="shared" si="17"/>
        <v>3.0231044581841848</v>
      </c>
      <c r="U44" s="678">
        <f t="shared" si="18"/>
        <v>28.4559651074611</v>
      </c>
    </row>
    <row r="45" spans="1:21" s="710" customFormat="1" ht="20.100000000000001" customHeight="1">
      <c r="A45" s="706" t="s">
        <v>375</v>
      </c>
      <c r="B45" s="707" t="s">
        <v>260</v>
      </c>
      <c r="C45" s="681">
        <v>6007362.2177090049</v>
      </c>
      <c r="D45" s="681">
        <v>1833032.9705866035</v>
      </c>
      <c r="E45" s="681">
        <v>2513541.501464373</v>
      </c>
      <c r="F45" s="681">
        <v>22944.943422666369</v>
      </c>
      <c r="G45" s="682">
        <f t="shared" si="15"/>
        <v>10376881.633182647</v>
      </c>
      <c r="H45" s="683">
        <v>1</v>
      </c>
      <c r="I45" s="711" t="s">
        <v>259</v>
      </c>
      <c r="J45" s="708">
        <f t="shared" si="19"/>
        <v>10376881.633182647</v>
      </c>
      <c r="K45" s="709">
        <v>5895932.3189293211</v>
      </c>
      <c r="L45" s="709">
        <v>359602.37035988207</v>
      </c>
      <c r="M45" s="709">
        <v>332778.08321705431</v>
      </c>
      <c r="N45" s="709">
        <v>22687.329127906978</v>
      </c>
      <c r="O45" s="709">
        <f t="shared" si="22"/>
        <v>6611000.1016341643</v>
      </c>
      <c r="P45" s="641">
        <v>1</v>
      </c>
      <c r="Q45" s="713" t="s">
        <v>259</v>
      </c>
      <c r="R45" s="677">
        <f t="shared" si="21"/>
        <v>6611000.1016341643</v>
      </c>
      <c r="S45" s="678">
        <f t="shared" si="16"/>
        <v>-36.291071486313811</v>
      </c>
      <c r="T45" s="678">
        <f t="shared" si="17"/>
        <v>0</v>
      </c>
      <c r="U45" s="678">
        <f t="shared" si="18"/>
        <v>-36.291071486313811</v>
      </c>
    </row>
    <row r="46" spans="1:21" s="509" customFormat="1" ht="20.100000000000001" customHeight="1">
      <c r="A46" s="508" t="s">
        <v>376</v>
      </c>
      <c r="B46" s="519" t="s">
        <v>415</v>
      </c>
      <c r="C46" s="493">
        <v>900000</v>
      </c>
      <c r="D46" s="493">
        <v>0</v>
      </c>
      <c r="E46" s="493">
        <v>0</v>
      </c>
      <c r="F46" s="493">
        <v>0</v>
      </c>
      <c r="G46" s="494">
        <f t="shared" si="15"/>
        <v>900000</v>
      </c>
      <c r="H46" s="653">
        <v>6</v>
      </c>
      <c r="I46" s="521" t="s">
        <v>348</v>
      </c>
      <c r="J46" s="520">
        <f>G46/H46</f>
        <v>150000</v>
      </c>
      <c r="K46" s="632">
        <v>900000</v>
      </c>
      <c r="L46" s="632">
        <v>0</v>
      </c>
      <c r="M46" s="632">
        <v>0</v>
      </c>
      <c r="N46" s="632">
        <v>0</v>
      </c>
      <c r="O46" s="632">
        <f t="shared" si="22"/>
        <v>900000</v>
      </c>
      <c r="P46" s="633">
        <v>6</v>
      </c>
      <c r="Q46" s="636" t="s">
        <v>348</v>
      </c>
      <c r="R46" s="634">
        <f t="shared" si="21"/>
        <v>150000</v>
      </c>
      <c r="S46" s="552">
        <f t="shared" ref="S46" si="23">(((O46-G46)/G46)*100)</f>
        <v>0</v>
      </c>
      <c r="T46" s="552">
        <f t="shared" ref="T46" si="24">(((P46-H46)/H46)*100)</f>
        <v>0</v>
      </c>
      <c r="U46" s="552">
        <f t="shared" ref="U46" si="25">(((R46-J46)/J46)*100)</f>
        <v>0</v>
      </c>
    </row>
    <row r="47" spans="1:21" s="691" customFormat="1" ht="20.100000000000001" customHeight="1">
      <c r="A47" s="679" t="s">
        <v>377</v>
      </c>
      <c r="B47" s="680" t="s">
        <v>339</v>
      </c>
      <c r="C47" s="681">
        <v>47874915.192439824</v>
      </c>
      <c r="D47" s="681">
        <v>415806.92251806991</v>
      </c>
      <c r="E47" s="681">
        <v>1280657.0160072639</v>
      </c>
      <c r="F47" s="681">
        <v>30427522.32294682</v>
      </c>
      <c r="G47" s="682">
        <f t="shared" si="15"/>
        <v>79998901.453911975</v>
      </c>
      <c r="H47" s="683">
        <v>1191</v>
      </c>
      <c r="I47" s="711" t="s">
        <v>258</v>
      </c>
      <c r="J47" s="685">
        <f t="shared" si="19"/>
        <v>67169.522631328276</v>
      </c>
      <c r="K47" s="709">
        <v>19207781.799943186</v>
      </c>
      <c r="L47" s="709">
        <v>4115556.4156862632</v>
      </c>
      <c r="M47" s="709">
        <v>682461.03114513366</v>
      </c>
      <c r="N47" s="709">
        <v>41297645.303921841</v>
      </c>
      <c r="O47" s="709">
        <f t="shared" si="22"/>
        <v>65303444.550696425</v>
      </c>
      <c r="P47" s="641">
        <v>1309</v>
      </c>
      <c r="Q47" s="713" t="s">
        <v>258</v>
      </c>
      <c r="R47" s="677">
        <f t="shared" si="21"/>
        <v>49888.040145681</v>
      </c>
      <c r="S47" s="678">
        <f t="shared" si="16"/>
        <v>-18.369573376806585</v>
      </c>
      <c r="T47" s="678">
        <f t="shared" si="17"/>
        <v>9.9076406381192275</v>
      </c>
      <c r="U47" s="678">
        <f t="shared" si="18"/>
        <v>-25.728160345131123</v>
      </c>
    </row>
    <row r="48" spans="1:21" s="710" customFormat="1" ht="20.100000000000001" customHeight="1">
      <c r="A48" s="706" t="s">
        <v>378</v>
      </c>
      <c r="B48" s="707" t="s">
        <v>416</v>
      </c>
      <c r="C48" s="681">
        <v>304313519.4596585</v>
      </c>
      <c r="D48" s="681">
        <v>425940.83075918054</v>
      </c>
      <c r="E48" s="681">
        <v>1311868.7635413327</v>
      </c>
      <c r="F48" s="681">
        <v>31169091.793117646</v>
      </c>
      <c r="G48" s="682">
        <f t="shared" si="15"/>
        <v>337220420.84707665</v>
      </c>
      <c r="H48" s="683">
        <v>1</v>
      </c>
      <c r="I48" s="711" t="s">
        <v>262</v>
      </c>
      <c r="J48" s="708">
        <f t="shared" si="19"/>
        <v>337220420.84707665</v>
      </c>
      <c r="K48" s="709">
        <v>166520071.15965909</v>
      </c>
      <c r="L48" s="709">
        <v>24693338.494117577</v>
      </c>
      <c r="M48" s="709">
        <v>4094766.1868708031</v>
      </c>
      <c r="N48" s="709">
        <v>247785871.82353103</v>
      </c>
      <c r="O48" s="709">
        <f t="shared" si="22"/>
        <v>443094047.66417849</v>
      </c>
      <c r="P48" s="641">
        <v>1</v>
      </c>
      <c r="Q48" s="713" t="s">
        <v>262</v>
      </c>
      <c r="R48" s="677">
        <f t="shared" si="21"/>
        <v>443094047.66417849</v>
      </c>
      <c r="S48" s="678">
        <f t="shared" si="16"/>
        <v>31.395971380129911</v>
      </c>
      <c r="T48" s="678">
        <f t="shared" si="17"/>
        <v>0</v>
      </c>
      <c r="U48" s="678">
        <f t="shared" si="18"/>
        <v>31.395971380129911</v>
      </c>
    </row>
    <row r="49" spans="1:22" s="718" customFormat="1" ht="20.100000000000001" customHeight="1">
      <c r="A49" s="714" t="s">
        <v>379</v>
      </c>
      <c r="B49" s="715" t="s">
        <v>417</v>
      </c>
      <c r="C49" s="694">
        <v>44909690.910231739</v>
      </c>
      <c r="D49" s="694">
        <v>424990.77686157636</v>
      </c>
      <c r="E49" s="694">
        <v>1308942.6622100137</v>
      </c>
      <c r="F49" s="694">
        <v>31099569.655289128</v>
      </c>
      <c r="G49" s="695">
        <f t="shared" si="15"/>
        <v>77743194.004592463</v>
      </c>
      <c r="H49" s="675">
        <v>1</v>
      </c>
      <c r="I49" s="716" t="s">
        <v>262</v>
      </c>
      <c r="J49" s="717">
        <f t="shared" si="19"/>
        <v>77743194.004592463</v>
      </c>
      <c r="K49" s="709">
        <v>48367758.269829556</v>
      </c>
      <c r="L49" s="709">
        <v>12346669.247058788</v>
      </c>
      <c r="M49" s="709">
        <v>2047383.0934354016</v>
      </c>
      <c r="N49" s="709">
        <v>123892935.91176552</v>
      </c>
      <c r="O49" s="709">
        <f t="shared" si="22"/>
        <v>186654746.52208924</v>
      </c>
      <c r="P49" s="641">
        <v>1</v>
      </c>
      <c r="Q49" s="713" t="s">
        <v>262</v>
      </c>
      <c r="R49" s="677">
        <f t="shared" si="21"/>
        <v>186654746.52208924</v>
      </c>
      <c r="S49" s="703">
        <f t="shared" si="16"/>
        <v>140.09143039719095</v>
      </c>
      <c r="T49" s="703">
        <f t="shared" si="17"/>
        <v>0</v>
      </c>
      <c r="U49" s="703">
        <f t="shared" si="18"/>
        <v>140.09143039719095</v>
      </c>
    </row>
    <row r="50" spans="1:22" s="197" customFormat="1" ht="20.100000000000001" customHeight="1">
      <c r="A50" s="554" t="s">
        <v>380</v>
      </c>
      <c r="B50" s="555" t="s">
        <v>418</v>
      </c>
      <c r="C50" s="549">
        <v>25423212.095380217</v>
      </c>
      <c r="D50" s="549">
        <v>1107871.5450149211</v>
      </c>
      <c r="E50" s="549">
        <v>1681566.1643504342</v>
      </c>
      <c r="F50" s="549">
        <v>168217.55053354532</v>
      </c>
      <c r="G50" s="471">
        <f t="shared" si="15"/>
        <v>28380867.355279118</v>
      </c>
      <c r="H50" s="654">
        <v>1</v>
      </c>
      <c r="I50" s="556" t="s">
        <v>259</v>
      </c>
      <c r="J50" s="551">
        <f t="shared" si="19"/>
        <v>28380867.355279118</v>
      </c>
      <c r="K50" s="638">
        <v>20335594.606303908</v>
      </c>
      <c r="L50" s="638">
        <v>1166988.2877468709</v>
      </c>
      <c r="M50" s="638">
        <v>1127673.9428441511</v>
      </c>
      <c r="N50" s="638">
        <v>178481.76643885343</v>
      </c>
      <c r="O50" s="632">
        <f t="shared" si="22"/>
        <v>22808738.603333782</v>
      </c>
      <c r="P50" s="639">
        <v>1</v>
      </c>
      <c r="Q50" s="640" t="s">
        <v>259</v>
      </c>
      <c r="R50" s="634">
        <f t="shared" si="21"/>
        <v>22808738.603333782</v>
      </c>
      <c r="S50" s="552">
        <f t="shared" si="16"/>
        <v>-19.633398381353082</v>
      </c>
      <c r="T50" s="552">
        <f t="shared" si="17"/>
        <v>0</v>
      </c>
      <c r="U50" s="552">
        <f t="shared" si="18"/>
        <v>-19.633398381353082</v>
      </c>
    </row>
    <row r="51" spans="1:22" ht="20.100000000000001" customHeight="1">
      <c r="A51" s="499" t="s">
        <v>381</v>
      </c>
      <c r="B51" s="500" t="s">
        <v>419</v>
      </c>
      <c r="C51" s="497">
        <v>19698514.07864248</v>
      </c>
      <c r="D51" s="497">
        <v>632767.65770426206</v>
      </c>
      <c r="E51" s="497">
        <v>1422077.7689172418</v>
      </c>
      <c r="F51" s="497">
        <v>124870.3584260731</v>
      </c>
      <c r="G51" s="494">
        <f t="shared" si="15"/>
        <v>21878229.863690056</v>
      </c>
      <c r="H51" s="653">
        <v>2993</v>
      </c>
      <c r="I51" s="521" t="s">
        <v>250</v>
      </c>
      <c r="J51" s="502">
        <f t="shared" si="19"/>
        <v>7309.7994866989829</v>
      </c>
      <c r="K51" s="632">
        <v>24401132.557304252</v>
      </c>
      <c r="L51" s="632">
        <v>1278586.2157240254</v>
      </c>
      <c r="M51" s="632">
        <v>1266671.8803273044</v>
      </c>
      <c r="N51" s="632">
        <v>119765.3657881137</v>
      </c>
      <c r="O51" s="632">
        <f t="shared" si="22"/>
        <v>27066156.019143693</v>
      </c>
      <c r="P51" s="633">
        <v>3203</v>
      </c>
      <c r="Q51" s="636" t="s">
        <v>250</v>
      </c>
      <c r="R51" s="634">
        <f t="shared" si="21"/>
        <v>8450.2516450651547</v>
      </c>
      <c r="S51" s="498">
        <f t="shared" si="16"/>
        <v>23.712732646911793</v>
      </c>
      <c r="T51" s="498">
        <f t="shared" si="17"/>
        <v>7.0163715335783499</v>
      </c>
      <c r="U51" s="498">
        <f t="shared" si="18"/>
        <v>15.601688670685906</v>
      </c>
    </row>
    <row r="52" spans="1:22" s="747" customFormat="1" ht="20.100000000000001" customHeight="1">
      <c r="A52" s="741" t="s">
        <v>382</v>
      </c>
      <c r="B52" s="742" t="s">
        <v>420</v>
      </c>
      <c r="C52" s="743">
        <v>19564134.054968286</v>
      </c>
      <c r="D52" s="743">
        <v>287638.368739489</v>
      </c>
      <c r="E52" s="743">
        <v>1263284.5269951893</v>
      </c>
      <c r="F52" s="743">
        <v>652099.7688496171</v>
      </c>
      <c r="G52" s="744">
        <f t="shared" si="15"/>
        <v>21767156.719552584</v>
      </c>
      <c r="H52" s="745">
        <v>155</v>
      </c>
      <c r="I52" s="637" t="s">
        <v>250</v>
      </c>
      <c r="J52" s="634">
        <f t="shared" si="19"/>
        <v>140433.26915840377</v>
      </c>
      <c r="K52" s="632">
        <v>18621247.686730448</v>
      </c>
      <c r="L52" s="632">
        <v>1226410.4671943302</v>
      </c>
      <c r="M52" s="632">
        <v>1057713.1683731165</v>
      </c>
      <c r="N52" s="632">
        <v>501001.62220431358</v>
      </c>
      <c r="O52" s="632">
        <f t="shared" si="22"/>
        <v>21406372.944502208</v>
      </c>
      <c r="P52" s="633">
        <v>150</v>
      </c>
      <c r="Q52" s="636" t="s">
        <v>250</v>
      </c>
      <c r="R52" s="634">
        <f t="shared" si="21"/>
        <v>142709.15296334805</v>
      </c>
      <c r="S52" s="746">
        <f t="shared" ref="S52:S58" si="26">(((O52-G52)/G52)*100)</f>
        <v>-1.6574685417057602</v>
      </c>
      <c r="T52" s="746">
        <f t="shared" ref="T52:T58" si="27">(((P52-H52)/H52)*100)</f>
        <v>-3.225806451612903</v>
      </c>
      <c r="U52" s="746">
        <f t="shared" ref="U52:U58" si="28">(((R52-J52)/J52)*100)</f>
        <v>1.6206158402373791</v>
      </c>
    </row>
    <row r="53" spans="1:22" s="737" customFormat="1" ht="20.100000000000001" customHeight="1">
      <c r="A53" s="726" t="s">
        <v>383</v>
      </c>
      <c r="B53" s="727" t="s">
        <v>421</v>
      </c>
      <c r="C53" s="728">
        <v>17008445.404998764</v>
      </c>
      <c r="D53" s="728">
        <v>279416.07924373233</v>
      </c>
      <c r="E53" s="728">
        <v>1227172.8943851737</v>
      </c>
      <c r="F53" s="728">
        <v>633459.16431867681</v>
      </c>
      <c r="G53" s="729">
        <f t="shared" si="15"/>
        <v>19148493.542946346</v>
      </c>
      <c r="H53" s="730">
        <v>28731</v>
      </c>
      <c r="I53" s="731" t="s">
        <v>250</v>
      </c>
      <c r="J53" s="732">
        <f t="shared" si="19"/>
        <v>666.47501106631671</v>
      </c>
      <c r="K53" s="733">
        <v>31646876.425095674</v>
      </c>
      <c r="L53" s="733">
        <v>1839615.7007914954</v>
      </c>
      <c r="M53" s="733">
        <v>1586569.7525596744</v>
      </c>
      <c r="N53" s="733">
        <v>751502.4333064704</v>
      </c>
      <c r="O53" s="733">
        <f t="shared" si="22"/>
        <v>35824564.311753318</v>
      </c>
      <c r="P53" s="734">
        <v>75000</v>
      </c>
      <c r="Q53" s="735" t="s">
        <v>250</v>
      </c>
      <c r="R53" s="732">
        <f t="shared" si="21"/>
        <v>477.66085749004424</v>
      </c>
      <c r="S53" s="736">
        <f t="shared" si="26"/>
        <v>87.088160389253545</v>
      </c>
      <c r="T53" s="736">
        <f t="shared" si="27"/>
        <v>161.04207998329329</v>
      </c>
      <c r="U53" s="736">
        <f t="shared" si="28"/>
        <v>-28.330267518084749</v>
      </c>
      <c r="V53" s="737" t="s">
        <v>549</v>
      </c>
    </row>
    <row r="54" spans="1:22" s="737" customFormat="1" ht="20.100000000000001" customHeight="1">
      <c r="A54" s="738" t="s">
        <v>453</v>
      </c>
      <c r="B54" s="727" t="s">
        <v>458</v>
      </c>
      <c r="C54" s="739">
        <v>4048570</v>
      </c>
      <c r="D54" s="739"/>
      <c r="E54" s="739"/>
      <c r="F54" s="739"/>
      <c r="G54" s="729">
        <f t="shared" si="15"/>
        <v>4048570</v>
      </c>
      <c r="H54" s="730">
        <v>10</v>
      </c>
      <c r="I54" s="740" t="s">
        <v>250</v>
      </c>
      <c r="J54" s="732">
        <f>G54/H54</f>
        <v>404857</v>
      </c>
      <c r="K54" s="733">
        <v>3903658.3759182608</v>
      </c>
      <c r="L54" s="733">
        <v>30660.261679858257</v>
      </c>
      <c r="M54" s="733">
        <v>26442.829209327909</v>
      </c>
      <c r="N54" s="733">
        <v>12525.040555107838</v>
      </c>
      <c r="O54" s="733">
        <f t="shared" si="22"/>
        <v>3973286.5073625548</v>
      </c>
      <c r="P54" s="734">
        <v>7</v>
      </c>
      <c r="Q54" s="735" t="s">
        <v>250</v>
      </c>
      <c r="R54" s="732">
        <f t="shared" si="21"/>
        <v>567612.35819465073</v>
      </c>
      <c r="S54" s="736">
        <f t="shared" si="26"/>
        <v>-1.8595082371663383</v>
      </c>
      <c r="T54" s="736">
        <f t="shared" si="27"/>
        <v>-30</v>
      </c>
      <c r="U54" s="736">
        <f t="shared" si="28"/>
        <v>40.200702518333813</v>
      </c>
      <c r="V54" s="737" t="s">
        <v>548</v>
      </c>
    </row>
    <row r="55" spans="1:22" s="509" customFormat="1" ht="20.25" customHeight="1">
      <c r="A55" s="499" t="s">
        <v>384</v>
      </c>
      <c r="B55" s="519" t="s">
        <v>422</v>
      </c>
      <c r="C55" s="497">
        <v>14153007.106015498</v>
      </c>
      <c r="D55" s="497">
        <v>472547.31288053538</v>
      </c>
      <c r="E55" s="497">
        <v>917733.27288839268</v>
      </c>
      <c r="F55" s="497">
        <v>692069.1876357029</v>
      </c>
      <c r="G55" s="494">
        <f t="shared" si="15"/>
        <v>16235356.879420128</v>
      </c>
      <c r="H55" s="653">
        <v>23424</v>
      </c>
      <c r="I55" s="521" t="s">
        <v>250</v>
      </c>
      <c r="J55" s="520">
        <f t="shared" si="19"/>
        <v>693.10779027579099</v>
      </c>
      <c r="K55" s="632">
        <v>15663643.322581451</v>
      </c>
      <c r="L55" s="632">
        <v>998895.4732218947</v>
      </c>
      <c r="M55" s="632">
        <v>883150.95338070637</v>
      </c>
      <c r="N55" s="632">
        <v>566989.54202196444</v>
      </c>
      <c r="O55" s="632">
        <f t="shared" si="22"/>
        <v>18112679.291206017</v>
      </c>
      <c r="P55" s="633">
        <v>24996</v>
      </c>
      <c r="Q55" s="636" t="s">
        <v>250</v>
      </c>
      <c r="R55" s="634">
        <f t="shared" si="21"/>
        <v>724.62311134605602</v>
      </c>
      <c r="S55" s="498">
        <f t="shared" si="26"/>
        <v>11.563173053285793</v>
      </c>
      <c r="T55" s="498">
        <f t="shared" si="27"/>
        <v>6.7110655737704921</v>
      </c>
      <c r="U55" s="498">
        <f t="shared" si="28"/>
        <v>4.5469581373086179</v>
      </c>
      <c r="V55" s="509" t="s">
        <v>437</v>
      </c>
    </row>
    <row r="56" spans="1:22" s="509" customFormat="1" ht="20.100000000000001" customHeight="1">
      <c r="A56" s="508" t="s">
        <v>397</v>
      </c>
      <c r="B56" s="519" t="s">
        <v>261</v>
      </c>
      <c r="C56" s="493">
        <v>361741019.06727058</v>
      </c>
      <c r="D56" s="493">
        <v>3724052.9446581886</v>
      </c>
      <c r="E56" s="493">
        <v>15630132.143929973</v>
      </c>
      <c r="F56" s="493">
        <v>79928005.325282872</v>
      </c>
      <c r="G56" s="494">
        <f t="shared" si="15"/>
        <v>461023209.48114157</v>
      </c>
      <c r="H56" s="653">
        <v>796409</v>
      </c>
      <c r="I56" s="521" t="s">
        <v>250</v>
      </c>
      <c r="J56" s="520">
        <f t="shared" si="19"/>
        <v>578.87744799611949</v>
      </c>
      <c r="K56" s="632">
        <v>347705199.29704052</v>
      </c>
      <c r="L56" s="632">
        <v>6764439.2368241837</v>
      </c>
      <c r="M56" s="632">
        <v>43616437.049692892</v>
      </c>
      <c r="N56" s="632">
        <v>58856743.801726729</v>
      </c>
      <c r="O56" s="632">
        <f t="shared" si="22"/>
        <v>456942819.3852843</v>
      </c>
      <c r="P56" s="641">
        <v>886551</v>
      </c>
      <c r="Q56" s="636" t="s">
        <v>250</v>
      </c>
      <c r="R56" s="634">
        <f t="shared" si="21"/>
        <v>515.41628105465372</v>
      </c>
      <c r="S56" s="498">
        <f t="shared" si="26"/>
        <v>-0.88507259763549351</v>
      </c>
      <c r="T56" s="498">
        <f t="shared" si="27"/>
        <v>11.318556169003614</v>
      </c>
      <c r="U56" s="498">
        <f t="shared" si="28"/>
        <v>-10.962798285051031</v>
      </c>
    </row>
    <row r="57" spans="1:22" s="747" customFormat="1" ht="20.100000000000001" customHeight="1">
      <c r="A57" s="741" t="s">
        <v>398</v>
      </c>
      <c r="B57" s="742" t="s">
        <v>430</v>
      </c>
      <c r="C57" s="756">
        <v>240963067.80727059</v>
      </c>
      <c r="D57" s="756">
        <v>3724052.9446581886</v>
      </c>
      <c r="E57" s="756">
        <v>15630132.143929973</v>
      </c>
      <c r="F57" s="756">
        <v>79928005.325282872</v>
      </c>
      <c r="G57" s="757">
        <f t="shared" si="15"/>
        <v>340245258.22114164</v>
      </c>
      <c r="H57" s="745">
        <v>24556</v>
      </c>
      <c r="I57" s="758" t="s">
        <v>250</v>
      </c>
      <c r="J57" s="634">
        <f t="shared" si="19"/>
        <v>13855.890952155954</v>
      </c>
      <c r="K57" s="632">
        <v>313003943.86704057</v>
      </c>
      <c r="L57" s="632">
        <v>6764439.2368241837</v>
      </c>
      <c r="M57" s="632">
        <v>48785437.049692892</v>
      </c>
      <c r="N57" s="632">
        <v>58856743.801726729</v>
      </c>
      <c r="O57" s="632">
        <f t="shared" si="22"/>
        <v>427410563.95528436</v>
      </c>
      <c r="P57" s="633">
        <v>30701</v>
      </c>
      <c r="Q57" s="636" t="s">
        <v>250</v>
      </c>
      <c r="R57" s="634">
        <f t="shared" si="21"/>
        <v>13921.714730962651</v>
      </c>
      <c r="S57" s="746">
        <f t="shared" si="26"/>
        <v>25.618374871660908</v>
      </c>
      <c r="T57" s="746">
        <f t="shared" si="27"/>
        <v>25.024433946896892</v>
      </c>
      <c r="U57" s="746">
        <f t="shared" si="28"/>
        <v>0.47505987910834563</v>
      </c>
    </row>
    <row r="58" spans="1:22" s="747" customFormat="1" ht="20.100000000000001" customHeight="1">
      <c r="A58" s="741" t="s">
        <v>399</v>
      </c>
      <c r="B58" s="742" t="s">
        <v>340</v>
      </c>
      <c r="C58" s="756">
        <v>241633439.7972706</v>
      </c>
      <c r="D58" s="756">
        <v>3724052.9446581886</v>
      </c>
      <c r="E58" s="756">
        <v>15630132.143929973</v>
      </c>
      <c r="F58" s="756">
        <v>79928005.325282872</v>
      </c>
      <c r="G58" s="757">
        <f t="shared" si="15"/>
        <v>340915630.21114165</v>
      </c>
      <c r="H58" s="745">
        <v>1976164</v>
      </c>
      <c r="I58" s="758" t="s">
        <v>250</v>
      </c>
      <c r="J58" s="634">
        <f t="shared" si="19"/>
        <v>172.51383499099347</v>
      </c>
      <c r="K58" s="632">
        <v>313486889.5270406</v>
      </c>
      <c r="L58" s="632">
        <v>6764439.2368241837</v>
      </c>
      <c r="M58" s="632">
        <v>43616437.049692892</v>
      </c>
      <c r="N58" s="632">
        <v>58856743.801726729</v>
      </c>
      <c r="O58" s="632">
        <f t="shared" si="22"/>
        <v>422724509.61528432</v>
      </c>
      <c r="P58" s="759">
        <v>2145355</v>
      </c>
      <c r="Q58" s="636" t="s">
        <v>250</v>
      </c>
      <c r="R58" s="634">
        <f t="shared" si="21"/>
        <v>197.04175281726535</v>
      </c>
      <c r="S58" s="746">
        <f t="shared" si="26"/>
        <v>23.996810986188994</v>
      </c>
      <c r="T58" s="746">
        <f t="shared" si="27"/>
        <v>8.5615869937920124</v>
      </c>
      <c r="U58" s="746">
        <f t="shared" si="28"/>
        <v>14.217942478382916</v>
      </c>
    </row>
    <row r="59" spans="1:22" s="553" customFormat="1" ht="20.100000000000001" customHeight="1">
      <c r="A59" s="547" t="s">
        <v>400</v>
      </c>
      <c r="B59" s="548" t="s">
        <v>263</v>
      </c>
      <c r="C59" s="760">
        <v>21080446.828420989</v>
      </c>
      <c r="D59" s="760">
        <v>448387.50834445271</v>
      </c>
      <c r="E59" s="760">
        <v>933680.23173330713</v>
      </c>
      <c r="F59" s="760">
        <v>3574581.9544482273</v>
      </c>
      <c r="G59" s="761">
        <f t="shared" si="15"/>
        <v>26037096.522946976</v>
      </c>
      <c r="H59" s="762">
        <v>180813</v>
      </c>
      <c r="I59" s="763" t="s">
        <v>264</v>
      </c>
      <c r="J59" s="551">
        <f t="shared" si="19"/>
        <v>144.0001356260168</v>
      </c>
      <c r="K59" s="632">
        <v>10164072.228247479</v>
      </c>
      <c r="L59" s="632">
        <v>1777398.2764371613</v>
      </c>
      <c r="M59" s="632">
        <v>1085801.6607053305</v>
      </c>
      <c r="N59" s="632">
        <v>4766287.8923270162</v>
      </c>
      <c r="O59" s="632">
        <f t="shared" si="22"/>
        <v>17793560.057716988</v>
      </c>
      <c r="P59" s="633">
        <v>127096.85755512134</v>
      </c>
      <c r="Q59" s="636" t="s">
        <v>264</v>
      </c>
      <c r="R59" s="634">
        <f>O59/P59</f>
        <v>140</v>
      </c>
      <c r="S59" s="498">
        <f t="shared" ref="S59" si="29">(((O59-G59)/G59)*100)</f>
        <v>-31.660736280501961</v>
      </c>
      <c r="T59" s="498">
        <f t="shared" ref="T59" si="30">(((P59-H59)/H59)*100)</f>
        <v>-29.708119684358238</v>
      </c>
      <c r="U59" s="498">
        <f t="shared" ref="U59" si="31">(((R59-J59)/J59)*100)</f>
        <v>-2.7778693461828148</v>
      </c>
    </row>
    <row r="60" spans="1:22" s="528" customFormat="1" ht="22.5" customHeight="1" thickBot="1">
      <c r="A60" s="523"/>
      <c r="B60" s="511" t="s">
        <v>342</v>
      </c>
      <c r="C60" s="538">
        <f>SUM(C31:C59)</f>
        <v>2048105476.1906705</v>
      </c>
      <c r="D60" s="538">
        <f>SUM(D31:D59)</f>
        <v>30207667.777971871</v>
      </c>
      <c r="E60" s="538">
        <f>SUM(E31:E59)</f>
        <v>103957381.35090607</v>
      </c>
      <c r="F60" s="538">
        <f>SUM(F31:F59)</f>
        <v>520072787.45784718</v>
      </c>
      <c r="G60" s="524">
        <f>SUM(G31:G59)</f>
        <v>2702343312.7773957</v>
      </c>
      <c r="H60" s="525"/>
      <c r="I60" s="526"/>
      <c r="J60" s="527"/>
      <c r="K60" s="642">
        <f>SUM(K31:K59)</f>
        <v>2157015291.5399914</v>
      </c>
      <c r="L60" s="642">
        <f>SUM(L31:L59)</f>
        <v>98739285.852741703</v>
      </c>
      <c r="M60" s="642">
        <f>SUM(M31:M59)</f>
        <v>252085154.68965223</v>
      </c>
      <c r="N60" s="642">
        <f>SUM(N31:N59)</f>
        <v>739280807.6451056</v>
      </c>
      <c r="O60" s="642">
        <f>SUM(O31:O59)</f>
        <v>3247120539.7274904</v>
      </c>
      <c r="P60" s="643"/>
      <c r="Q60" s="644"/>
      <c r="R60" s="645"/>
      <c r="S60" s="488"/>
      <c r="T60" s="488"/>
      <c r="U60" s="488"/>
    </row>
    <row r="61" spans="1:22" s="536" customFormat="1" ht="20.100000000000001" customHeight="1" thickBot="1">
      <c r="A61" s="529">
        <v>888</v>
      </c>
      <c r="B61" s="530" t="s">
        <v>347</v>
      </c>
      <c r="C61" s="531">
        <v>-5.4569682106375694E-11</v>
      </c>
      <c r="D61" s="531">
        <v>119466856.14</v>
      </c>
      <c r="E61" s="531">
        <v>342708502.08000004</v>
      </c>
      <c r="F61" s="531">
        <v>0</v>
      </c>
      <c r="G61" s="532">
        <f t="shared" ref="G61" si="32">SUM(C61:F61)</f>
        <v>462175358.22000003</v>
      </c>
      <c r="H61" s="533">
        <v>77</v>
      </c>
      <c r="I61" s="534" t="s">
        <v>251</v>
      </c>
      <c r="J61" s="535">
        <f>G61/H61</f>
        <v>6002277.3794805203</v>
      </c>
      <c r="K61" s="646">
        <v>0</v>
      </c>
      <c r="L61" s="646">
        <v>207323913.97000003</v>
      </c>
      <c r="M61" s="646">
        <v>7970530696.6699991</v>
      </c>
      <c r="N61" s="647">
        <v>0</v>
      </c>
      <c r="O61" s="646">
        <f>SUM(K61:N61)</f>
        <v>8177854610.6399994</v>
      </c>
      <c r="P61" s="648">
        <v>77</v>
      </c>
      <c r="Q61" s="649" t="s">
        <v>251</v>
      </c>
      <c r="R61" s="650">
        <v>17137417.949610393</v>
      </c>
      <c r="S61" s="475"/>
      <c r="T61" s="475"/>
      <c r="U61" s="475"/>
    </row>
    <row r="62" spans="1:22" s="528" customFormat="1" ht="20.100000000000001" customHeight="1">
      <c r="A62" s="523"/>
      <c r="B62" s="537" t="s">
        <v>345</v>
      </c>
      <c r="C62" s="538">
        <f>C29+C60+C61</f>
        <v>3754384667.8381839</v>
      </c>
      <c r="D62" s="538">
        <f>D29+D60+D61</f>
        <v>177734623.52129269</v>
      </c>
      <c r="E62" s="538">
        <f>E29+E60+E61</f>
        <v>551916534.99056745</v>
      </c>
      <c r="F62" s="538">
        <f>F29+F60+F61</f>
        <v>1000988461.4293377</v>
      </c>
      <c r="G62" s="538">
        <f>G29+G60+G61</f>
        <v>5485024287.7793827</v>
      </c>
      <c r="H62" s="525"/>
      <c r="I62" s="526"/>
      <c r="J62" s="527"/>
      <c r="K62" s="642">
        <f>K29+K60</f>
        <v>4291480895.5100002</v>
      </c>
      <c r="L62" s="642">
        <f>L29+L60+L61</f>
        <v>357438493.22000003</v>
      </c>
      <c r="M62" s="642">
        <f>M29+M60+M61</f>
        <v>8488672825.6699991</v>
      </c>
      <c r="N62" s="642">
        <f>N29+N60</f>
        <v>1085339143.1900001</v>
      </c>
      <c r="O62" s="642">
        <f>O29+O60+O61</f>
        <v>14222931357.59</v>
      </c>
      <c r="P62" s="643"/>
      <c r="Q62" s="644"/>
      <c r="R62" s="645"/>
      <c r="S62" s="488"/>
      <c r="T62" s="488"/>
      <c r="U62" s="488"/>
    </row>
    <row r="64" spans="1:22">
      <c r="D64" s="764"/>
    </row>
    <row r="66" spans="1:19" ht="21">
      <c r="A66" s="475"/>
      <c r="C66" s="544"/>
      <c r="D66" s="544"/>
      <c r="E66" s="544"/>
      <c r="F66" s="544"/>
      <c r="G66" s="545"/>
      <c r="H66" s="475"/>
      <c r="I66" s="475"/>
      <c r="J66" s="475"/>
      <c r="K66" s="83"/>
      <c r="L66" s="83"/>
      <c r="M66" s="83"/>
      <c r="N66" s="83"/>
      <c r="O66" s="83"/>
      <c r="Q66" s="83"/>
      <c r="S66" s="475"/>
    </row>
    <row r="67" spans="1:19">
      <c r="A67" s="475"/>
      <c r="C67" s="544">
        <f>C73*90/100</f>
        <v>24026754.908722229</v>
      </c>
      <c r="D67" s="544">
        <f t="shared" ref="D67:F67" si="33">D73*90/100</f>
        <v>884209.07575502316</v>
      </c>
      <c r="E67" s="544">
        <f t="shared" si="33"/>
        <v>1851658.2585991686</v>
      </c>
      <c r="F67" s="544">
        <f t="shared" si="33"/>
        <v>458171.5256102659</v>
      </c>
      <c r="G67" s="544"/>
      <c r="H67" s="475"/>
      <c r="I67" s="475"/>
      <c r="J67" s="475"/>
      <c r="K67" s="83"/>
      <c r="L67" s="83"/>
      <c r="M67" s="83"/>
      <c r="N67" s="83"/>
      <c r="O67" s="83"/>
      <c r="Q67" s="83"/>
      <c r="S67" s="475"/>
    </row>
    <row r="68" spans="1:19">
      <c r="A68" s="475"/>
      <c r="C68" s="540">
        <f>C73*10/100</f>
        <v>2669639.4343024702</v>
      </c>
      <c r="D68" s="540">
        <f t="shared" ref="D68:F68" si="34">D73*10/100</f>
        <v>98245.452861669255</v>
      </c>
      <c r="E68" s="540">
        <f t="shared" si="34"/>
        <v>205739.80651101872</v>
      </c>
      <c r="F68" s="540">
        <f t="shared" si="34"/>
        <v>50907.947290029544</v>
      </c>
      <c r="H68" s="475"/>
      <c r="I68" s="475"/>
      <c r="J68" s="475"/>
      <c r="K68" s="83"/>
      <c r="L68" s="83"/>
      <c r="M68" s="83"/>
      <c r="N68" s="83"/>
      <c r="O68" s="83"/>
      <c r="Q68" s="83"/>
      <c r="S68" s="475"/>
    </row>
    <row r="69" spans="1:19" ht="28.5">
      <c r="A69" s="475"/>
      <c r="B69" s="546"/>
      <c r="C69" s="541">
        <v>13222953.071512351</v>
      </c>
      <c r="D69" s="541">
        <v>491227.26430834626</v>
      </c>
      <c r="E69" s="541">
        <v>1028699.0325550936</v>
      </c>
      <c r="F69" s="541">
        <v>254539.7364501477</v>
      </c>
      <c r="G69" s="475">
        <v>90</v>
      </c>
      <c r="H69" s="796">
        <v>30245326.41</v>
      </c>
      <c r="I69" s="796"/>
      <c r="J69" s="475"/>
      <c r="K69" s="83"/>
      <c r="L69" s="83"/>
      <c r="M69" s="83"/>
      <c r="N69" s="83"/>
      <c r="O69" s="83"/>
      <c r="Q69" s="83"/>
      <c r="S69" s="475"/>
    </row>
    <row r="70" spans="1:19" ht="28.5">
      <c r="A70" s="475"/>
      <c r="B70" s="546"/>
      <c r="C70" s="541"/>
      <c r="D70" s="541"/>
      <c r="E70" s="541"/>
      <c r="F70" s="541"/>
      <c r="H70" s="719"/>
      <c r="I70" s="719"/>
      <c r="J70" s="475"/>
      <c r="K70" s="83"/>
      <c r="L70" s="83"/>
      <c r="M70" s="83"/>
      <c r="N70" s="83"/>
      <c r="O70" s="83"/>
      <c r="Q70" s="83"/>
      <c r="S70" s="475"/>
    </row>
    <row r="71" spans="1:19">
      <c r="A71" s="475"/>
      <c r="C71" s="541">
        <v>13473441.27151235</v>
      </c>
      <c r="D71" s="541">
        <v>491227.26430834626</v>
      </c>
      <c r="E71" s="541">
        <v>1028699.0325550936</v>
      </c>
      <c r="F71" s="541">
        <v>254539.7364501477</v>
      </c>
      <c r="G71" s="475">
        <v>10</v>
      </c>
      <c r="H71" s="475"/>
      <c r="I71" s="475"/>
      <c r="J71" s="475"/>
      <c r="K71" s="83"/>
      <c r="L71" s="83"/>
      <c r="M71" s="83"/>
      <c r="N71" s="83"/>
      <c r="O71" s="83"/>
      <c r="Q71" s="83"/>
      <c r="S71" s="475"/>
    </row>
    <row r="72" spans="1:19">
      <c r="A72" s="475"/>
      <c r="C72" s="541"/>
      <c r="D72" s="541"/>
      <c r="E72" s="541"/>
      <c r="F72" s="541"/>
      <c r="H72" s="475"/>
      <c r="I72" s="475"/>
      <c r="J72" s="475"/>
      <c r="K72" s="83"/>
      <c r="L72" s="83"/>
      <c r="M72" s="83"/>
      <c r="N72" s="83"/>
      <c r="O72" s="83"/>
      <c r="Q72" s="83"/>
      <c r="S72" s="475"/>
    </row>
    <row r="73" spans="1:19">
      <c r="A73" s="475"/>
      <c r="C73" s="540">
        <f>SUM(C69:C71)</f>
        <v>26696394.343024701</v>
      </c>
      <c r="D73" s="720">
        <f>SUM(D69:D71)</f>
        <v>982454.52861669252</v>
      </c>
      <c r="E73" s="720">
        <f t="shared" ref="E73:F73" si="35">SUM(E69:E71)</f>
        <v>2057398.0651101873</v>
      </c>
      <c r="F73" s="720">
        <f t="shared" si="35"/>
        <v>509079.4729002954</v>
      </c>
      <c r="H73" s="475"/>
      <c r="I73" s="475"/>
      <c r="J73" s="475"/>
      <c r="K73" s="83"/>
      <c r="L73" s="83"/>
      <c r="M73" s="83"/>
      <c r="N73" s="83"/>
      <c r="O73" s="83"/>
      <c r="Q73" s="83"/>
      <c r="S73" s="475"/>
    </row>
    <row r="74" spans="1:19">
      <c r="A74" s="475"/>
      <c r="H74" s="475"/>
      <c r="I74" s="475"/>
      <c r="J74" s="475"/>
      <c r="K74" s="83"/>
      <c r="L74" s="83"/>
      <c r="M74" s="83"/>
      <c r="N74" s="83"/>
      <c r="O74" s="83"/>
      <c r="Q74" s="83"/>
      <c r="S74" s="475"/>
    </row>
    <row r="75" spans="1:19">
      <c r="A75" s="475"/>
      <c r="H75" s="475"/>
      <c r="I75" s="475"/>
      <c r="J75" s="475"/>
      <c r="K75" s="83"/>
      <c r="L75" s="83"/>
      <c r="M75" s="83"/>
      <c r="N75" s="83"/>
      <c r="O75" s="83"/>
      <c r="Q75" s="83"/>
      <c r="S75" s="475"/>
    </row>
    <row r="77" spans="1:19">
      <c r="C77" s="493">
        <v>21564134.054968286</v>
      </c>
      <c r="D77" s="493">
        <v>287638.368739489</v>
      </c>
      <c r="E77" s="493">
        <v>1263284.5269951893</v>
      </c>
      <c r="F77" s="493">
        <v>652099.7688496171</v>
      </c>
      <c r="G77" s="494">
        <f t="shared" ref="G77:G79" si="36">SUM(C77:F77)</f>
        <v>23767156.719552584</v>
      </c>
    </row>
    <row r="78" spans="1:19">
      <c r="C78" s="694">
        <v>19008445.404998764</v>
      </c>
      <c r="D78" s="694">
        <v>279416.07924373233</v>
      </c>
      <c r="E78" s="694">
        <v>1227172.8943851737</v>
      </c>
      <c r="F78" s="694">
        <v>633459.16431867681</v>
      </c>
      <c r="G78" s="695">
        <f t="shared" si="36"/>
        <v>21148493.542946346</v>
      </c>
    </row>
    <row r="79" spans="1:19">
      <c r="C79" s="705">
        <v>48570</v>
      </c>
      <c r="D79" s="705">
        <v>0</v>
      </c>
      <c r="E79" s="705">
        <v>0</v>
      </c>
      <c r="F79" s="705">
        <v>0</v>
      </c>
      <c r="G79" s="695">
        <f t="shared" si="36"/>
        <v>48570</v>
      </c>
    </row>
    <row r="80" spans="1:19">
      <c r="C80" s="540">
        <f>SUM(C77:C79)</f>
        <v>40621149.459967047</v>
      </c>
      <c r="D80" s="540">
        <f t="shared" ref="D80:G80" si="37">SUM(D77:D79)</f>
        <v>567054.44798322138</v>
      </c>
      <c r="E80" s="540">
        <f t="shared" si="37"/>
        <v>2490457.4213803629</v>
      </c>
      <c r="F80" s="540">
        <f t="shared" si="37"/>
        <v>1285558.9331682939</v>
      </c>
      <c r="G80" s="540">
        <f t="shared" si="37"/>
        <v>44964220.26249893</v>
      </c>
    </row>
    <row r="82" spans="1:19">
      <c r="C82" s="540">
        <v>4000000</v>
      </c>
    </row>
    <row r="83" spans="1:19">
      <c r="C83" s="540">
        <f>C82/2</f>
        <v>2000000</v>
      </c>
    </row>
    <row r="84" spans="1:19">
      <c r="C84" s="540">
        <f>C83/4</f>
        <v>500000</v>
      </c>
    </row>
    <row r="85" spans="1:19">
      <c r="A85" s="475"/>
      <c r="C85" s="725">
        <f>C77-2000000</f>
        <v>19564134.054968286</v>
      </c>
      <c r="D85" s="725">
        <v>287638.368739489</v>
      </c>
      <c r="E85" s="725">
        <v>1263284.5269951893</v>
      </c>
      <c r="F85" s="725">
        <v>652099.7688496171</v>
      </c>
      <c r="G85" s="725">
        <v>23767156.719552584</v>
      </c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</row>
    <row r="86" spans="1:19">
      <c r="A86" s="475"/>
      <c r="C86" s="725">
        <f>C78-2000000</f>
        <v>17008445.404998764</v>
      </c>
      <c r="D86" s="725">
        <v>279416.07924373233</v>
      </c>
      <c r="E86" s="725">
        <v>1227172.8943851737</v>
      </c>
      <c r="F86" s="725">
        <v>633459.16431867681</v>
      </c>
      <c r="G86" s="725">
        <v>21148493.542946346</v>
      </c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</row>
    <row r="87" spans="1:19">
      <c r="A87" s="475"/>
      <c r="C87" s="720">
        <f>C82+C79</f>
        <v>4048570</v>
      </c>
      <c r="G87" s="725">
        <f t="shared" ref="G87" si="38">SUM(C87:F87)</f>
        <v>4048570</v>
      </c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</row>
    <row r="88" spans="1:19">
      <c r="C88" s="540">
        <f>SUM(C85:C87)</f>
        <v>40621149.459967047</v>
      </c>
      <c r="D88" s="540">
        <f t="shared" ref="D88:G88" si="39">SUM(D85:D87)</f>
        <v>567054.44798322138</v>
      </c>
      <c r="E88" s="540">
        <f t="shared" si="39"/>
        <v>2490457.4213803629</v>
      </c>
      <c r="F88" s="540">
        <f t="shared" si="39"/>
        <v>1285558.9331682939</v>
      </c>
      <c r="G88" s="540">
        <f t="shared" si="39"/>
        <v>48964220.26249893</v>
      </c>
    </row>
  </sheetData>
  <mergeCells count="6">
    <mergeCell ref="H69:I69"/>
    <mergeCell ref="A1:U1"/>
    <mergeCell ref="C3:J3"/>
    <mergeCell ref="S3:U3"/>
    <mergeCell ref="A2:U2"/>
    <mergeCell ref="K3:R3"/>
  </mergeCells>
  <pageMargins left="0.23622047244094491" right="0.15748031496062992" top="0.23622047244094491" bottom="0.11811023622047245" header="0.19685039370078741" footer="0.11811023622047245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U33"/>
  <sheetViews>
    <sheetView view="pageBreakPreview" zoomScale="80" zoomScaleSheetLayoutView="80" workbookViewId="0">
      <pane xSplit="2" ySplit="5" topLeftCell="M18" activePane="bottomRight" state="frozen"/>
      <selection pane="topRight" activeCell="C1" sqref="C1"/>
      <selection pane="bottomLeft" activeCell="A6" sqref="A6"/>
      <selection pane="bottomRight" activeCell="U8" sqref="U8"/>
    </sheetView>
  </sheetViews>
  <sheetFormatPr defaultColWidth="8.85546875" defaultRowHeight="18.75"/>
  <cols>
    <col min="1" max="1" width="5.7109375" style="117" customWidth="1"/>
    <col min="2" max="2" width="42.42578125" style="182" customWidth="1"/>
    <col min="3" max="3" width="18.42578125" style="39" customWidth="1"/>
    <col min="4" max="4" width="16.85546875" style="39" customWidth="1"/>
    <col min="5" max="5" width="18" style="39" customWidth="1"/>
    <col min="6" max="6" width="16.85546875" style="39" customWidth="1"/>
    <col min="7" max="7" width="18.7109375" style="45" customWidth="1"/>
    <col min="8" max="8" width="12.28515625" style="83" customWidth="1"/>
    <col min="9" max="9" width="8.85546875" style="39" customWidth="1"/>
    <col min="10" max="10" width="13.28515625" style="39" customWidth="1"/>
    <col min="11" max="11" width="16.85546875" style="39" customWidth="1"/>
    <col min="12" max="12" width="15.7109375" style="39" customWidth="1"/>
    <col min="13" max="13" width="18.28515625" style="39" customWidth="1"/>
    <col min="14" max="14" width="17.85546875" style="39" customWidth="1"/>
    <col min="15" max="15" width="19.5703125" style="39" customWidth="1"/>
    <col min="16" max="16" width="9.85546875" style="755" customWidth="1"/>
    <col min="17" max="17" width="8.85546875" style="39" customWidth="1"/>
    <col min="18" max="18" width="13.85546875" style="39" customWidth="1"/>
    <col min="19" max="19" width="8" style="39" customWidth="1"/>
    <col min="20" max="20" width="10.28515625" style="39" customWidth="1"/>
    <col min="21" max="21" width="10.140625" style="39" customWidth="1"/>
    <col min="22" max="22" width="17.7109375" style="39" hidden="1" customWidth="1"/>
    <col min="23" max="23" width="16.28515625" style="39" hidden="1" customWidth="1"/>
    <col min="24" max="24" width="11.5703125" style="39" hidden="1" customWidth="1"/>
    <col min="25" max="25" width="8.5703125" style="39" bestFit="1" customWidth="1"/>
    <col min="26" max="26" width="7.42578125" style="39" bestFit="1" customWidth="1"/>
    <col min="27" max="27" width="8.7109375" style="39" customWidth="1"/>
    <col min="28" max="16384" width="8.85546875" style="39"/>
  </cols>
  <sheetData>
    <row r="1" spans="1:255" ht="30.75">
      <c r="A1" s="812" t="s">
        <v>275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>
      <c r="A2" s="812" t="s">
        <v>518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24" thickBot="1">
      <c r="A3" s="116"/>
      <c r="B3" s="370"/>
      <c r="C3" s="40"/>
      <c r="D3" s="40"/>
      <c r="E3" s="40"/>
      <c r="F3" s="40"/>
      <c r="G3" s="66"/>
      <c r="H3" s="750"/>
      <c r="I3" s="40"/>
      <c r="J3" s="40"/>
      <c r="K3" s="40"/>
      <c r="L3" s="40"/>
      <c r="M3" s="40"/>
      <c r="N3" s="40"/>
      <c r="O3" s="40"/>
      <c r="P3" s="751"/>
      <c r="Q3" s="40"/>
      <c r="R3" s="40"/>
      <c r="S3" s="40"/>
      <c r="T3" s="40"/>
      <c r="U3" s="40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pans="1:255" s="8" customFormat="1" ht="19.5" thickBot="1">
      <c r="A4" s="813" t="s">
        <v>10</v>
      </c>
      <c r="B4" s="815" t="s">
        <v>280</v>
      </c>
      <c r="C4" s="807" t="s">
        <v>441</v>
      </c>
      <c r="D4" s="807"/>
      <c r="E4" s="807"/>
      <c r="F4" s="807"/>
      <c r="G4" s="807"/>
      <c r="H4" s="807"/>
      <c r="I4" s="807"/>
      <c r="J4" s="808"/>
      <c r="K4" s="807" t="s">
        <v>519</v>
      </c>
      <c r="L4" s="807"/>
      <c r="M4" s="807"/>
      <c r="N4" s="807"/>
      <c r="O4" s="807"/>
      <c r="P4" s="807"/>
      <c r="Q4" s="807"/>
      <c r="R4" s="807"/>
      <c r="S4" s="809" t="s">
        <v>270</v>
      </c>
      <c r="T4" s="810"/>
      <c r="U4" s="8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s="8" customFormat="1" ht="99" customHeight="1" thickBot="1">
      <c r="A5" s="814"/>
      <c r="B5" s="816"/>
      <c r="C5" s="30" t="s">
        <v>11</v>
      </c>
      <c r="D5" s="31" t="s">
        <v>12</v>
      </c>
      <c r="E5" s="31" t="s">
        <v>0</v>
      </c>
      <c r="F5" s="31" t="s">
        <v>244</v>
      </c>
      <c r="G5" s="32" t="s">
        <v>245</v>
      </c>
      <c r="H5" s="362" t="s">
        <v>246</v>
      </c>
      <c r="I5" s="32" t="s">
        <v>247</v>
      </c>
      <c r="J5" s="34" t="s">
        <v>248</v>
      </c>
      <c r="K5" s="267" t="s">
        <v>11</v>
      </c>
      <c r="L5" s="31" t="s">
        <v>12</v>
      </c>
      <c r="M5" s="31" t="s">
        <v>0</v>
      </c>
      <c r="N5" s="31" t="s">
        <v>244</v>
      </c>
      <c r="O5" s="32" t="s">
        <v>245</v>
      </c>
      <c r="P5" s="33" t="s">
        <v>246</v>
      </c>
      <c r="Q5" s="32" t="s">
        <v>247</v>
      </c>
      <c r="R5" s="35" t="s">
        <v>248</v>
      </c>
      <c r="S5" s="71" t="s">
        <v>277</v>
      </c>
      <c r="T5" s="72" t="s">
        <v>281</v>
      </c>
      <c r="U5" s="73" t="s">
        <v>282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9.5">
      <c r="A6" s="384">
        <v>301</v>
      </c>
      <c r="B6" s="284" t="s">
        <v>500</v>
      </c>
      <c r="C6" s="195">
        <v>198549062.781165</v>
      </c>
      <c r="D6" s="195">
        <v>633369.26506941346</v>
      </c>
      <c r="E6" s="195">
        <v>1950734.2208793052</v>
      </c>
      <c r="F6" s="195">
        <v>46348091.885676801</v>
      </c>
      <c r="G6" s="181">
        <v>247481258.15279055</v>
      </c>
      <c r="H6" s="283">
        <v>118</v>
      </c>
      <c r="I6" s="81" t="s">
        <v>278</v>
      </c>
      <c r="J6" s="256">
        <f>G6/H6</f>
        <v>2097298.7979050046</v>
      </c>
      <c r="K6" s="264">
        <v>234095611.22943112</v>
      </c>
      <c r="L6" s="265">
        <v>41155564.156862617</v>
      </c>
      <c r="M6" s="265">
        <v>6824610.3114513382</v>
      </c>
      <c r="N6" s="265">
        <v>412976453.03921843</v>
      </c>
      <c r="O6" s="266">
        <f>SUM(K6:N6)</f>
        <v>695052238.73696351</v>
      </c>
      <c r="P6" s="283">
        <v>115</v>
      </c>
      <c r="Q6" s="81" t="s">
        <v>278</v>
      </c>
      <c r="R6" s="82">
        <f>O6/P6</f>
        <v>6043932.5107562048</v>
      </c>
      <c r="S6" s="113">
        <f t="shared" ref="S6:S24" si="0">(((O6-G6)/G6)*100)</f>
        <v>180.8504546666926</v>
      </c>
      <c r="T6" s="109">
        <f t="shared" ref="T6:T24" si="1">(((P6-H6)/H6)*100)</f>
        <v>-2.5423728813559325</v>
      </c>
      <c r="U6" s="110">
        <f t="shared" ref="U6:U24" si="2">(((R6-J6)/J6)*100)</f>
        <v>188.17698826669331</v>
      </c>
      <c r="V6" s="24">
        <f t="shared" ref="V6:V25" si="3">O6-G6</f>
        <v>447570980.58417296</v>
      </c>
      <c r="W6" s="401">
        <f t="shared" ref="W6:W25" si="4">V6/G6*100</f>
        <v>180.8504546666926</v>
      </c>
      <c r="X6" s="226">
        <f>V6/1000000</f>
        <v>447.57098058417296</v>
      </c>
      <c r="Y6" s="226"/>
      <c r="Z6" s="226"/>
      <c r="AA6" s="226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</row>
    <row r="7" spans="1:255" ht="19.5">
      <c r="A7" s="384">
        <v>302</v>
      </c>
      <c r="B7" s="284" t="s">
        <v>501</v>
      </c>
      <c r="C7" s="195">
        <f>48570+4000000</f>
        <v>4048570</v>
      </c>
      <c r="D7" s="195">
        <v>0</v>
      </c>
      <c r="E7" s="195">
        <v>0</v>
      </c>
      <c r="F7" s="195">
        <v>0</v>
      </c>
      <c r="G7" s="181">
        <f>SUM(C7:F7)</f>
        <v>4048570</v>
      </c>
      <c r="H7" s="283">
        <v>2710</v>
      </c>
      <c r="I7" s="81" t="s">
        <v>546</v>
      </c>
      <c r="J7" s="256">
        <f t="shared" ref="J7:J24" si="5">G7/H7</f>
        <v>1493.9372693726937</v>
      </c>
      <c r="K7" s="264">
        <v>3903658.3759182608</v>
      </c>
      <c r="L7" s="265">
        <v>30660.261679858257</v>
      </c>
      <c r="M7" s="265">
        <v>26442.829209327909</v>
      </c>
      <c r="N7" s="265">
        <v>12525.040555107838</v>
      </c>
      <c r="O7" s="266">
        <f t="shared" ref="O7:O25" si="6">SUM(K7:N7)</f>
        <v>3973286.5073625548</v>
      </c>
      <c r="P7" s="283">
        <v>61900</v>
      </c>
      <c r="Q7" s="81" t="s">
        <v>546</v>
      </c>
      <c r="R7" s="82">
        <f t="shared" ref="R7:R25" si="7">O7/P7</f>
        <v>64.188796564823178</v>
      </c>
      <c r="S7" s="113">
        <f t="shared" si="0"/>
        <v>-1.8595082371663383</v>
      </c>
      <c r="T7" s="109">
        <f t="shared" si="1"/>
        <v>2184.1328413284132</v>
      </c>
      <c r="U7" s="110">
        <f t="shared" si="2"/>
        <v>-95.703380732192585</v>
      </c>
      <c r="V7" s="24">
        <f t="shared" si="3"/>
        <v>-75283.492637445219</v>
      </c>
      <c r="W7" s="401">
        <f t="shared" si="4"/>
        <v>-1.8595082371663383</v>
      </c>
      <c r="X7" s="226">
        <f t="shared" ref="X7:X25" si="8">V7/1000000</f>
        <v>-7.5283492637445215E-2</v>
      </c>
      <c r="Y7" s="226"/>
      <c r="Z7" s="226"/>
      <c r="AA7" s="226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ht="19.5">
      <c r="A8" s="384">
        <v>303</v>
      </c>
      <c r="B8" s="284" t="s">
        <v>502</v>
      </c>
      <c r="C8" s="195">
        <v>250136970.74701232</v>
      </c>
      <c r="D8" s="195">
        <v>4185666.088414405</v>
      </c>
      <c r="E8" s="195">
        <v>16330784.712409321</v>
      </c>
      <c r="F8" s="195">
        <v>79998095.971338511</v>
      </c>
      <c r="G8" s="181">
        <v>350651517.51917458</v>
      </c>
      <c r="H8" s="283">
        <v>76</v>
      </c>
      <c r="I8" s="81" t="s">
        <v>484</v>
      </c>
      <c r="J8" s="256">
        <f t="shared" si="5"/>
        <v>4613835.7568312446</v>
      </c>
      <c r="K8" s="264">
        <v>321053047.72258049</v>
      </c>
      <c r="L8" s="265">
        <v>7684602.7252416927</v>
      </c>
      <c r="M8" s="265">
        <v>43165364.665769853</v>
      </c>
      <c r="N8" s="265">
        <v>56907517.486715637</v>
      </c>
      <c r="O8" s="266">
        <f t="shared" si="6"/>
        <v>428810532.6003077</v>
      </c>
      <c r="P8" s="283">
        <v>76</v>
      </c>
      <c r="Q8" s="81" t="s">
        <v>253</v>
      </c>
      <c r="R8" s="82">
        <f t="shared" si="7"/>
        <v>5642243.850004049</v>
      </c>
      <c r="S8" s="113">
        <f t="shared" si="0"/>
        <v>22.289655448834377</v>
      </c>
      <c r="T8" s="109">
        <f t="shared" si="1"/>
        <v>0</v>
      </c>
      <c r="U8" s="110">
        <f t="shared" si="2"/>
        <v>22.289655448834381</v>
      </c>
      <c r="V8" s="24">
        <f t="shared" si="3"/>
        <v>78159015.081133127</v>
      </c>
      <c r="W8" s="401">
        <f t="shared" si="4"/>
        <v>22.289655448834377</v>
      </c>
      <c r="X8" s="226">
        <f t="shared" si="8"/>
        <v>78.159015081133134</v>
      </c>
      <c r="Y8" s="226"/>
      <c r="Z8" s="226"/>
      <c r="AA8" s="226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255" ht="19.5">
      <c r="A9" s="384">
        <v>304</v>
      </c>
      <c r="B9" s="284" t="s">
        <v>503</v>
      </c>
      <c r="C9" s="195">
        <v>252161556.58000001</v>
      </c>
      <c r="D9" s="195">
        <v>4124117.67</v>
      </c>
      <c r="E9" s="195">
        <v>16237364.369999999</v>
      </c>
      <c r="F9" s="195">
        <v>79988750.549999997</v>
      </c>
      <c r="G9" s="181">
        <f>SUM(C9:F9)</f>
        <v>352511789.17000002</v>
      </c>
      <c r="H9" s="283">
        <v>76</v>
      </c>
      <c r="I9" s="81" t="s">
        <v>251</v>
      </c>
      <c r="J9" s="256">
        <f t="shared" si="5"/>
        <v>4638313.015394737</v>
      </c>
      <c r="K9" s="264">
        <v>309196231.03224641</v>
      </c>
      <c r="L9" s="265">
        <v>6899241.7140461411</v>
      </c>
      <c r="M9" s="265">
        <v>42406461.463955499</v>
      </c>
      <c r="N9" s="265">
        <v>56787402.638912819</v>
      </c>
      <c r="O9" s="266">
        <f t="shared" si="6"/>
        <v>415289336.84916085</v>
      </c>
      <c r="P9" s="283">
        <v>76</v>
      </c>
      <c r="Q9" s="81" t="s">
        <v>251</v>
      </c>
      <c r="R9" s="82">
        <f t="shared" si="7"/>
        <v>5464333.3795942217</v>
      </c>
      <c r="S9" s="113">
        <f t="shared" si="0"/>
        <v>17.808637783993699</v>
      </c>
      <c r="T9" s="109">
        <f t="shared" si="1"/>
        <v>0</v>
      </c>
      <c r="U9" s="110">
        <f t="shared" si="2"/>
        <v>17.808637783993699</v>
      </c>
      <c r="V9" s="24">
        <f t="shared" si="3"/>
        <v>62777547.679160833</v>
      </c>
      <c r="W9" s="401">
        <f t="shared" si="4"/>
        <v>17.808637783993699</v>
      </c>
      <c r="X9" s="226">
        <f t="shared" si="8"/>
        <v>62.777547679160833</v>
      </c>
      <c r="Y9" s="226"/>
      <c r="Z9" s="226"/>
      <c r="AA9" s="226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</row>
    <row r="10" spans="1:255" ht="19.5">
      <c r="A10" s="384">
        <v>305</v>
      </c>
      <c r="B10" s="284" t="s">
        <v>504</v>
      </c>
      <c r="C10" s="195">
        <v>13222953.07</v>
      </c>
      <c r="D10" s="195">
        <v>491227.26</v>
      </c>
      <c r="E10" s="195">
        <v>1028699.03</v>
      </c>
      <c r="F10" s="195">
        <v>254539.74</v>
      </c>
      <c r="G10" s="181">
        <f>SUM(C10:F10)</f>
        <v>14997419.1</v>
      </c>
      <c r="H10" s="283">
        <v>334</v>
      </c>
      <c r="I10" s="81" t="s">
        <v>253</v>
      </c>
      <c r="J10" s="256">
        <f t="shared" si="5"/>
        <v>44902.452395209577</v>
      </c>
      <c r="K10" s="264">
        <v>32180289.454895031</v>
      </c>
      <c r="L10" s="265">
        <v>1407087.629043658</v>
      </c>
      <c r="M10" s="265">
        <v>1045675.4003294575</v>
      </c>
      <c r="N10" s="265">
        <v>420282.70447093027</v>
      </c>
      <c r="O10" s="266">
        <f t="shared" si="6"/>
        <v>35053335.188739076</v>
      </c>
      <c r="P10" s="283">
        <v>276</v>
      </c>
      <c r="Q10" s="81" t="s">
        <v>253</v>
      </c>
      <c r="R10" s="82">
        <f t="shared" si="7"/>
        <v>127004.83764035898</v>
      </c>
      <c r="S10" s="113">
        <f t="shared" si="0"/>
        <v>133.7291166900782</v>
      </c>
      <c r="T10" s="109">
        <f t="shared" si="1"/>
        <v>-17.365269461077844</v>
      </c>
      <c r="U10" s="110">
        <f t="shared" si="2"/>
        <v>182.8461049800222</v>
      </c>
      <c r="V10" s="24">
        <f t="shared" si="3"/>
        <v>20055916.088739075</v>
      </c>
      <c r="W10" s="401">
        <f t="shared" si="4"/>
        <v>133.7291166900782</v>
      </c>
      <c r="X10" s="226">
        <f t="shared" si="8"/>
        <v>20.055916088739075</v>
      </c>
      <c r="Y10" s="226"/>
      <c r="Z10" s="226"/>
      <c r="AA10" s="226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ht="19.5">
      <c r="A11" s="384">
        <v>306</v>
      </c>
      <c r="B11" s="284" t="s">
        <v>505</v>
      </c>
      <c r="C11" s="195">
        <v>256716871.51025963</v>
      </c>
      <c r="D11" s="195">
        <v>4339537.1363331433</v>
      </c>
      <c r="E11" s="195">
        <v>16564335.568569105</v>
      </c>
      <c r="F11" s="195">
        <v>80021459.520023733</v>
      </c>
      <c r="G11" s="181">
        <v>357642203.73518562</v>
      </c>
      <c r="H11" s="283">
        <v>76</v>
      </c>
      <c r="I11" s="81" t="s">
        <v>251</v>
      </c>
      <c r="J11" s="256">
        <f t="shared" si="5"/>
        <v>4705818.4701998113</v>
      </c>
      <c r="K11" s="264">
        <v>317528332.8478629</v>
      </c>
      <c r="L11" s="265">
        <v>7390819.5321648382</v>
      </c>
      <c r="M11" s="265">
        <v>42881478.653239302</v>
      </c>
      <c r="N11" s="265">
        <v>56862585.63624125</v>
      </c>
      <c r="O11" s="266">
        <f t="shared" si="6"/>
        <v>424663216.66950828</v>
      </c>
      <c r="P11" s="283">
        <v>76</v>
      </c>
      <c r="Q11" s="81" t="s">
        <v>251</v>
      </c>
      <c r="R11" s="82">
        <f t="shared" si="7"/>
        <v>5587673.9035461619</v>
      </c>
      <c r="S11" s="113">
        <f t="shared" si="0"/>
        <v>18.739682351344651</v>
      </c>
      <c r="T11" s="109">
        <f t="shared" si="1"/>
        <v>0</v>
      </c>
      <c r="U11" s="110">
        <f t="shared" si="2"/>
        <v>18.739682351344648</v>
      </c>
      <c r="V11" s="24">
        <f t="shared" si="3"/>
        <v>67021012.934322655</v>
      </c>
      <c r="W11" s="401">
        <f t="shared" si="4"/>
        <v>18.739682351344651</v>
      </c>
      <c r="X11" s="226">
        <f t="shared" si="8"/>
        <v>67.021012934322655</v>
      </c>
      <c r="Y11" s="226"/>
      <c r="Z11" s="226"/>
      <c r="AA11" s="226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ht="19.5">
      <c r="A12" s="384">
        <v>307</v>
      </c>
      <c r="B12" s="284" t="s">
        <v>506</v>
      </c>
      <c r="C12" s="195">
        <v>257496317.32966173</v>
      </c>
      <c r="D12" s="195">
        <v>4216440.2979981527</v>
      </c>
      <c r="E12" s="195">
        <v>16377494.88364128</v>
      </c>
      <c r="F12" s="195">
        <v>80002768.681075573</v>
      </c>
      <c r="G12" s="181">
        <v>352511789.1727702</v>
      </c>
      <c r="H12" s="283">
        <v>6</v>
      </c>
      <c r="I12" s="81" t="s">
        <v>253</v>
      </c>
      <c r="J12" s="256">
        <f t="shared" si="5"/>
        <v>58751964.86212837</v>
      </c>
      <c r="K12" s="264">
        <v>315850864.15838003</v>
      </c>
      <c r="L12" s="265">
        <v>7213386.1185243614</v>
      </c>
      <c r="M12" s="265">
        <v>42710022.744681232</v>
      </c>
      <c r="N12" s="265">
        <v>56835448.578033946</v>
      </c>
      <c r="O12" s="266">
        <f t="shared" si="6"/>
        <v>422609721.59961957</v>
      </c>
      <c r="P12" s="283">
        <v>76</v>
      </c>
      <c r="Q12" s="81" t="s">
        <v>251</v>
      </c>
      <c r="R12" s="82">
        <f t="shared" si="7"/>
        <v>5560654.2315739421</v>
      </c>
      <c r="S12" s="113">
        <f t="shared" si="0"/>
        <v>19.885273224860441</v>
      </c>
      <c r="T12" s="109">
        <f t="shared" si="1"/>
        <v>1166.6666666666665</v>
      </c>
      <c r="U12" s="110">
        <f t="shared" si="2"/>
        <v>-90.535373166458385</v>
      </c>
      <c r="V12" s="24">
        <f t="shared" si="3"/>
        <v>70097932.426849365</v>
      </c>
      <c r="W12" s="401">
        <f t="shared" si="4"/>
        <v>19.885273224860441</v>
      </c>
      <c r="X12" s="226">
        <f t="shared" si="8"/>
        <v>70.097932426849368</v>
      </c>
      <c r="Y12" s="226"/>
      <c r="Z12" s="226"/>
      <c r="AA12" s="226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</row>
    <row r="13" spans="1:255" ht="19.5">
      <c r="A13" s="384">
        <v>308</v>
      </c>
      <c r="B13" s="284" t="s">
        <v>507</v>
      </c>
      <c r="C13" s="195">
        <v>266386279.9026508</v>
      </c>
      <c r="D13" s="195">
        <v>4831924.4896731097</v>
      </c>
      <c r="E13" s="195">
        <v>17311698.308280408</v>
      </c>
      <c r="F13" s="195">
        <v>80096222.87581642</v>
      </c>
      <c r="G13" s="181">
        <v>368626125.57642072</v>
      </c>
      <c r="H13" s="283">
        <v>31</v>
      </c>
      <c r="I13" s="81" t="s">
        <v>278</v>
      </c>
      <c r="J13" s="256">
        <f t="shared" si="5"/>
        <v>11891165.341174861</v>
      </c>
      <c r="K13" s="264">
        <v>333339538.4733445</v>
      </c>
      <c r="L13" s="265">
        <v>7931427.5245710546</v>
      </c>
      <c r="M13" s="265">
        <v>49913110.992537044</v>
      </c>
      <c r="N13" s="265">
        <v>59035225.568165585</v>
      </c>
      <c r="O13" s="266">
        <f t="shared" si="6"/>
        <v>450219302.55861819</v>
      </c>
      <c r="P13" s="283">
        <v>31</v>
      </c>
      <c r="Q13" s="81" t="s">
        <v>278</v>
      </c>
      <c r="R13" s="82">
        <f t="shared" si="7"/>
        <v>14523203.308342522</v>
      </c>
      <c r="S13" s="113">
        <f t="shared" si="0"/>
        <v>22.13439887219339</v>
      </c>
      <c r="T13" s="109">
        <f t="shared" si="1"/>
        <v>0</v>
      </c>
      <c r="U13" s="110">
        <f t="shared" si="2"/>
        <v>22.134398872193398</v>
      </c>
      <c r="V13" s="24">
        <f t="shared" si="3"/>
        <v>81593176.982197464</v>
      </c>
      <c r="W13" s="401">
        <f t="shared" si="4"/>
        <v>22.13439887219339</v>
      </c>
      <c r="X13" s="226">
        <f t="shared" si="8"/>
        <v>81.593176982197463</v>
      </c>
      <c r="Y13" s="226"/>
      <c r="Z13" s="226"/>
      <c r="AA13" s="226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255" ht="19.5">
      <c r="A14" s="384">
        <v>309</v>
      </c>
      <c r="B14" s="284" t="s">
        <v>508</v>
      </c>
      <c r="C14" s="195">
        <v>591652411.67196953</v>
      </c>
      <c r="D14" s="195">
        <v>8578110.3331611324</v>
      </c>
      <c r="E14" s="195">
        <v>33682746.327375673</v>
      </c>
      <c r="F14" s="195">
        <v>160049828.97925985</v>
      </c>
      <c r="G14" s="181">
        <v>793963097.31176615</v>
      </c>
      <c r="H14" s="283">
        <v>76</v>
      </c>
      <c r="I14" s="81" t="s">
        <v>251</v>
      </c>
      <c r="J14" s="256">
        <f t="shared" si="5"/>
        <v>10446882.859365344</v>
      </c>
      <c r="K14" s="264">
        <v>742372423.37396693</v>
      </c>
      <c r="L14" s="265">
        <v>15910727.062594289</v>
      </c>
      <c r="M14" s="265">
        <v>89503628.453093797</v>
      </c>
      <c r="N14" s="265">
        <v>117915077.41126353</v>
      </c>
      <c r="O14" s="266">
        <f t="shared" si="6"/>
        <v>965701856.30091858</v>
      </c>
      <c r="P14" s="283">
        <v>76</v>
      </c>
      <c r="Q14" s="81" t="s">
        <v>251</v>
      </c>
      <c r="R14" s="82">
        <f t="shared" si="7"/>
        <v>12706603.372380508</v>
      </c>
      <c r="S14" s="113">
        <f t="shared" si="0"/>
        <v>21.630571946055525</v>
      </c>
      <c r="T14" s="109">
        <f t="shared" si="1"/>
        <v>0</v>
      </c>
      <c r="U14" s="110">
        <f t="shared" si="2"/>
        <v>21.630571946055532</v>
      </c>
      <c r="V14" s="24">
        <f t="shared" si="3"/>
        <v>171738758.98915243</v>
      </c>
      <c r="W14" s="401">
        <f t="shared" si="4"/>
        <v>21.630571946055525</v>
      </c>
      <c r="X14" s="226">
        <f t="shared" si="8"/>
        <v>171.73875898915244</v>
      </c>
      <c r="Y14" s="226"/>
      <c r="Z14" s="226"/>
      <c r="AA14" s="226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</row>
    <row r="15" spans="1:255" ht="19.5">
      <c r="A15" s="384">
        <v>310</v>
      </c>
      <c r="B15" s="284" t="s">
        <v>509</v>
      </c>
      <c r="C15" s="195">
        <v>99124380.19407472</v>
      </c>
      <c r="D15" s="195">
        <v>3032851.3363402979</v>
      </c>
      <c r="E15" s="195">
        <v>6122177.3698456846</v>
      </c>
      <c r="F15" s="195">
        <v>4127938.022130365</v>
      </c>
      <c r="G15" s="181">
        <v>112407346.92239107</v>
      </c>
      <c r="H15" s="283">
        <v>76</v>
      </c>
      <c r="I15" s="81" t="s">
        <v>251</v>
      </c>
      <c r="J15" s="256">
        <f t="shared" si="5"/>
        <v>1479044.0384525142</v>
      </c>
      <c r="K15" s="264">
        <v>96002800.526559412</v>
      </c>
      <c r="L15" s="265">
        <v>6272914.1389714861</v>
      </c>
      <c r="M15" s="265">
        <v>5733745.1170671852</v>
      </c>
      <c r="N15" s="265">
        <v>4523891.8130038744</v>
      </c>
      <c r="O15" s="266">
        <f t="shared" si="6"/>
        <v>112533351.59560196</v>
      </c>
      <c r="P15" s="283">
        <v>76</v>
      </c>
      <c r="Q15" s="81" t="s">
        <v>251</v>
      </c>
      <c r="R15" s="82">
        <f t="shared" si="7"/>
        <v>1480701.9946789732</v>
      </c>
      <c r="S15" s="113">
        <f t="shared" si="0"/>
        <v>0.11209647470630721</v>
      </c>
      <c r="T15" s="109">
        <f t="shared" si="1"/>
        <v>0</v>
      </c>
      <c r="U15" s="110">
        <f t="shared" si="2"/>
        <v>0.11209647470630305</v>
      </c>
      <c r="V15" s="24">
        <f t="shared" si="3"/>
        <v>126004.6732108891</v>
      </c>
      <c r="W15" s="401">
        <f t="shared" si="4"/>
        <v>0.11209647470630721</v>
      </c>
      <c r="X15" s="226">
        <f t="shared" si="8"/>
        <v>0.1260046732108891</v>
      </c>
      <c r="Y15" s="226"/>
      <c r="Z15" s="226"/>
      <c r="AA15" s="226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</row>
    <row r="16" spans="1:255" ht="19.5">
      <c r="A16" s="384">
        <v>311</v>
      </c>
      <c r="B16" s="284" t="s">
        <v>510</v>
      </c>
      <c r="C16" s="195">
        <v>440182502.5784356</v>
      </c>
      <c r="D16" s="195">
        <v>4357422.2097276021</v>
      </c>
      <c r="E16" s="195">
        <v>17580866.364809278</v>
      </c>
      <c r="F16" s="195">
        <v>126276097.21095967</v>
      </c>
      <c r="G16" s="181">
        <v>588396888.36393213</v>
      </c>
      <c r="H16" s="283">
        <v>118</v>
      </c>
      <c r="I16" s="81" t="s">
        <v>278</v>
      </c>
      <c r="J16" s="256">
        <f t="shared" si="5"/>
        <v>4986414.308168916</v>
      </c>
      <c r="K16" s="264">
        <v>313486889.5270406</v>
      </c>
      <c r="L16" s="265">
        <v>6764439.2368241837</v>
      </c>
      <c r="M16" s="265">
        <v>43616437.049692892</v>
      </c>
      <c r="N16" s="265">
        <v>58856743.801726729</v>
      </c>
      <c r="O16" s="266">
        <f t="shared" si="6"/>
        <v>422724509.61528432</v>
      </c>
      <c r="P16" s="283">
        <v>115</v>
      </c>
      <c r="Q16" s="81" t="s">
        <v>278</v>
      </c>
      <c r="R16" s="82">
        <f t="shared" si="7"/>
        <v>3675865.3010024722</v>
      </c>
      <c r="S16" s="113">
        <f t="shared" si="0"/>
        <v>-28.156569489908144</v>
      </c>
      <c r="T16" s="109">
        <f t="shared" si="1"/>
        <v>-2.5423728813559325</v>
      </c>
      <c r="U16" s="110">
        <f t="shared" si="2"/>
        <v>-26.282393041818793</v>
      </c>
      <c r="V16" s="24">
        <f t="shared" si="3"/>
        <v>-165672378.74864781</v>
      </c>
      <c r="W16" s="401">
        <f t="shared" si="4"/>
        <v>-28.156569489908144</v>
      </c>
      <c r="X16" s="226">
        <f t="shared" si="8"/>
        <v>-165.67237874864782</v>
      </c>
      <c r="Y16" s="226"/>
      <c r="Z16" s="226"/>
      <c r="AA16" s="226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255" ht="19.5">
      <c r="A17" s="384">
        <v>312</v>
      </c>
      <c r="B17" s="284" t="s">
        <v>467</v>
      </c>
      <c r="C17" s="195">
        <f>63374404.6114112-4000000</f>
        <v>59374404.611411199</v>
      </c>
      <c r="D17" s="195">
        <v>1361620.9502492317</v>
      </c>
      <c r="E17" s="195">
        <v>4334252.252323661</v>
      </c>
      <c r="F17" s="195">
        <v>6358173.8430513907</v>
      </c>
      <c r="G17" s="181">
        <v>75428451.657035485</v>
      </c>
      <c r="H17" s="283">
        <v>194</v>
      </c>
      <c r="I17" s="81" t="s">
        <v>253</v>
      </c>
      <c r="J17" s="256">
        <f t="shared" si="5"/>
        <v>388806.45184038911</v>
      </c>
      <c r="K17" s="264">
        <v>46793275.685111046</v>
      </c>
      <c r="L17" s="265">
        <v>2097870.5953537486</v>
      </c>
      <c r="M17" s="265">
        <v>4299272.37814222</v>
      </c>
      <c r="N17" s="265">
        <v>4268165.9712620694</v>
      </c>
      <c r="O17" s="266">
        <f t="shared" si="6"/>
        <v>57458584.629869089</v>
      </c>
      <c r="P17" s="283">
        <v>150</v>
      </c>
      <c r="Q17" s="81" t="s">
        <v>253</v>
      </c>
      <c r="R17" s="82">
        <f t="shared" si="7"/>
        <v>383057.23086579394</v>
      </c>
      <c r="S17" s="113">
        <f t="shared" si="0"/>
        <v>-23.823725175843887</v>
      </c>
      <c r="T17" s="109">
        <f t="shared" si="1"/>
        <v>-22.680412371134022</v>
      </c>
      <c r="U17" s="110">
        <f t="shared" si="2"/>
        <v>-1.4786845607580892</v>
      </c>
      <c r="V17" s="24">
        <f t="shared" si="3"/>
        <v>-17969867.027166396</v>
      </c>
      <c r="W17" s="401">
        <f t="shared" si="4"/>
        <v>-23.823725175843887</v>
      </c>
      <c r="X17" s="226">
        <f t="shared" si="8"/>
        <v>-17.969867027166398</v>
      </c>
      <c r="Y17" s="226"/>
      <c r="Z17" s="226"/>
      <c r="AA17" s="226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</row>
    <row r="18" spans="1:255" ht="19.5">
      <c r="A18" s="384">
        <v>313</v>
      </c>
      <c r="B18" s="284" t="s">
        <v>266</v>
      </c>
      <c r="C18" s="195">
        <v>946588754.943169</v>
      </c>
      <c r="D18" s="195">
        <v>14885164.558001259</v>
      </c>
      <c r="E18" s="195">
        <v>54317841.792156868</v>
      </c>
      <c r="F18" s="195">
        <v>256049324.07245311</v>
      </c>
      <c r="G18" s="181">
        <v>1271841085.3657801</v>
      </c>
      <c r="H18" s="283">
        <v>145</v>
      </c>
      <c r="I18" s="81" t="s">
        <v>250</v>
      </c>
      <c r="J18" s="256">
        <f t="shared" si="5"/>
        <v>8771317.8301088288</v>
      </c>
      <c r="K18" s="407">
        <v>1057681865.4176046</v>
      </c>
      <c r="L18" s="408">
        <v>30369312.548741311</v>
      </c>
      <c r="M18" s="408">
        <v>137935143.42528453</v>
      </c>
      <c r="N18" s="408">
        <v>198169545.07005739</v>
      </c>
      <c r="O18" s="266">
        <f t="shared" si="6"/>
        <v>1424155866.4616878</v>
      </c>
      <c r="P18" s="283">
        <v>145</v>
      </c>
      <c r="Q18" s="81" t="s">
        <v>278</v>
      </c>
      <c r="R18" s="82">
        <f t="shared" si="7"/>
        <v>9821764.596287502</v>
      </c>
      <c r="S18" s="113">
        <f t="shared" si="0"/>
        <v>11.975928663454217</v>
      </c>
      <c r="T18" s="109">
        <f t="shared" si="1"/>
        <v>0</v>
      </c>
      <c r="U18" s="110">
        <f t="shared" si="2"/>
        <v>11.97592866345421</v>
      </c>
      <c r="V18" s="24">
        <f t="shared" si="3"/>
        <v>152314781.09590769</v>
      </c>
      <c r="W18" s="401">
        <f t="shared" si="4"/>
        <v>11.975928663454217</v>
      </c>
      <c r="X18" s="226">
        <f t="shared" si="8"/>
        <v>152.31478109590768</v>
      </c>
      <c r="Y18" s="226"/>
      <c r="Z18" s="226"/>
      <c r="AA18" s="226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ht="19.5">
      <c r="A19" s="384">
        <v>314</v>
      </c>
      <c r="B19" s="284" t="s">
        <v>511</v>
      </c>
      <c r="C19" s="195">
        <v>14153007.106015498</v>
      </c>
      <c r="D19" s="195">
        <v>472547.31288053538</v>
      </c>
      <c r="E19" s="195">
        <v>917733.27288839268</v>
      </c>
      <c r="F19" s="195">
        <v>692069.1876357029</v>
      </c>
      <c r="G19" s="181">
        <v>16235356.879420128</v>
      </c>
      <c r="H19" s="283">
        <v>89</v>
      </c>
      <c r="I19" s="81" t="s">
        <v>278</v>
      </c>
      <c r="J19" s="256">
        <f t="shared" si="5"/>
        <v>182419.74021820369</v>
      </c>
      <c r="K19" s="407">
        <v>15663643.322581451</v>
      </c>
      <c r="L19" s="408">
        <v>998895.4732218947</v>
      </c>
      <c r="M19" s="408">
        <v>883150.95338070637</v>
      </c>
      <c r="N19" s="408">
        <v>566989.54202196433</v>
      </c>
      <c r="O19" s="266">
        <f t="shared" si="6"/>
        <v>18112679.291206017</v>
      </c>
      <c r="P19" s="283">
        <v>89</v>
      </c>
      <c r="Q19" s="81" t="s">
        <v>278</v>
      </c>
      <c r="R19" s="82">
        <f t="shared" si="7"/>
        <v>203513.25046298894</v>
      </c>
      <c r="S19" s="113">
        <f t="shared" si="0"/>
        <v>11.563173053285793</v>
      </c>
      <c r="T19" s="109">
        <f t="shared" si="1"/>
        <v>0</v>
      </c>
      <c r="U19" s="110">
        <f t="shared" si="2"/>
        <v>11.563173053285782</v>
      </c>
      <c r="V19" s="24">
        <f t="shared" si="3"/>
        <v>1877322.4117858894</v>
      </c>
      <c r="W19" s="401">
        <f t="shared" si="4"/>
        <v>11.563173053285793</v>
      </c>
      <c r="X19" s="226">
        <f t="shared" si="8"/>
        <v>1.8773224117858893</v>
      </c>
      <c r="Y19" s="226"/>
      <c r="Z19" s="226"/>
      <c r="AA19" s="226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ht="19.5">
      <c r="A20" s="384">
        <v>315</v>
      </c>
      <c r="B20" s="284" t="s">
        <v>512</v>
      </c>
      <c r="C20" s="195">
        <v>13473441.27151235</v>
      </c>
      <c r="D20" s="195">
        <v>491227.26430834626</v>
      </c>
      <c r="E20" s="195">
        <v>1028699.0325550936</v>
      </c>
      <c r="F20" s="195">
        <v>254539.7364501477</v>
      </c>
      <c r="G20" s="181">
        <v>15247907.304825937</v>
      </c>
      <c r="H20" s="283">
        <v>270</v>
      </c>
      <c r="I20" s="81" t="s">
        <v>482</v>
      </c>
      <c r="J20" s="256">
        <f t="shared" si="5"/>
        <v>56473.730758614583</v>
      </c>
      <c r="K20" s="407">
        <v>3894184.6060994477</v>
      </c>
      <c r="L20" s="408">
        <v>156343.06989373977</v>
      </c>
      <c r="M20" s="408">
        <v>116186.15559216196</v>
      </c>
      <c r="N20" s="408">
        <v>46698.078274547814</v>
      </c>
      <c r="O20" s="266">
        <f t="shared" si="6"/>
        <v>4213411.9098598976</v>
      </c>
      <c r="P20" s="283">
        <v>270</v>
      </c>
      <c r="Q20" s="81" t="s">
        <v>482</v>
      </c>
      <c r="R20" s="82">
        <f t="shared" si="7"/>
        <v>15605.229295777399</v>
      </c>
      <c r="S20" s="113">
        <f t="shared" si="0"/>
        <v>-72.367277517968915</v>
      </c>
      <c r="T20" s="109">
        <f t="shared" si="1"/>
        <v>0</v>
      </c>
      <c r="U20" s="110">
        <f t="shared" si="2"/>
        <v>-72.367277517968915</v>
      </c>
      <c r="V20" s="24">
        <f t="shared" si="3"/>
        <v>-11034495.39496604</v>
      </c>
      <c r="W20" s="401">
        <f t="shared" si="4"/>
        <v>-72.367277517968915</v>
      </c>
      <c r="X20" s="226">
        <f t="shared" si="8"/>
        <v>-11.03449539496604</v>
      </c>
      <c r="Y20" s="226"/>
      <c r="Z20" s="226"/>
      <c r="AA20" s="226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ht="19.5">
      <c r="A21" s="384">
        <v>316</v>
      </c>
      <c r="B21" s="284" t="s">
        <v>513</v>
      </c>
      <c r="C21" s="195">
        <v>19698514.07864248</v>
      </c>
      <c r="D21" s="195">
        <v>632767.65770426206</v>
      </c>
      <c r="E21" s="195">
        <v>1422077.7689172418</v>
      </c>
      <c r="F21" s="195">
        <v>124870.3584260731</v>
      </c>
      <c r="G21" s="181">
        <v>21878229.863690056</v>
      </c>
      <c r="H21" s="283">
        <v>2100</v>
      </c>
      <c r="I21" s="81" t="s">
        <v>250</v>
      </c>
      <c r="J21" s="256">
        <f t="shared" si="5"/>
        <v>10418.204696995264</v>
      </c>
      <c r="K21" s="407">
        <v>24401132.557304252</v>
      </c>
      <c r="L21" s="408">
        <v>1278586.2157240254</v>
      </c>
      <c r="M21" s="408">
        <v>1266671.8803273044</v>
      </c>
      <c r="N21" s="408">
        <v>119765.3657881137</v>
      </c>
      <c r="O21" s="266">
        <f t="shared" si="6"/>
        <v>27066156.019143693</v>
      </c>
      <c r="P21" s="283">
        <v>2200</v>
      </c>
      <c r="Q21" s="81" t="s">
        <v>250</v>
      </c>
      <c r="R21" s="82">
        <f t="shared" si="7"/>
        <v>12302.798190519861</v>
      </c>
      <c r="S21" s="113">
        <f t="shared" si="0"/>
        <v>23.712732646911793</v>
      </c>
      <c r="T21" s="109">
        <f t="shared" si="1"/>
        <v>4.7619047619047619</v>
      </c>
      <c r="U21" s="110">
        <f t="shared" si="2"/>
        <v>18.089426617506721</v>
      </c>
      <c r="V21" s="24">
        <f t="shared" si="3"/>
        <v>5187926.1554536372</v>
      </c>
      <c r="W21" s="401">
        <f t="shared" si="4"/>
        <v>23.712732646911793</v>
      </c>
      <c r="X21" s="226">
        <f t="shared" si="8"/>
        <v>5.1879261554536376</v>
      </c>
      <c r="Y21" s="226"/>
      <c r="Z21" s="226"/>
      <c r="AA21" s="226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ht="19.5">
      <c r="A22" s="384">
        <v>317</v>
      </c>
      <c r="B22" s="284" t="s">
        <v>514</v>
      </c>
      <c r="C22" s="195">
        <v>22600822.851412881</v>
      </c>
      <c r="D22" s="195">
        <v>657457.13096422306</v>
      </c>
      <c r="E22" s="195">
        <v>1535381.6566273291</v>
      </c>
      <c r="F22" s="195">
        <v>100841.0410583693</v>
      </c>
      <c r="G22" s="181">
        <v>24894502.680062801</v>
      </c>
      <c r="H22" s="283">
        <v>13600</v>
      </c>
      <c r="I22" s="81" t="s">
        <v>274</v>
      </c>
      <c r="J22" s="256">
        <f t="shared" si="5"/>
        <v>1830.4781382399119</v>
      </c>
      <c r="K22" s="407">
        <v>39298678.527304254</v>
      </c>
      <c r="L22" s="408">
        <v>1336080.3057240252</v>
      </c>
      <c r="M22" s="408">
        <v>1327798.1503273044</v>
      </c>
      <c r="N22" s="408">
        <v>94750.645788113674</v>
      </c>
      <c r="O22" s="266">
        <f t="shared" si="6"/>
        <v>42057307.629143693</v>
      </c>
      <c r="P22" s="283">
        <v>26000</v>
      </c>
      <c r="Q22" s="81" t="s">
        <v>274</v>
      </c>
      <c r="R22" s="82">
        <f t="shared" si="7"/>
        <v>1617.5887549670651</v>
      </c>
      <c r="S22" s="113">
        <f t="shared" si="0"/>
        <v>68.942148271256784</v>
      </c>
      <c r="T22" s="109">
        <f t="shared" si="1"/>
        <v>91.17647058823529</v>
      </c>
      <c r="U22" s="110">
        <f t="shared" si="2"/>
        <v>-11.630260904265681</v>
      </c>
      <c r="V22" s="24">
        <f t="shared" si="3"/>
        <v>17162804.949080892</v>
      </c>
      <c r="W22" s="401">
        <f t="shared" si="4"/>
        <v>68.942148271256784</v>
      </c>
      <c r="X22" s="226">
        <f t="shared" si="8"/>
        <v>17.162804949080893</v>
      </c>
      <c r="Y22" s="226"/>
      <c r="Z22" s="226"/>
      <c r="AA22" s="226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ht="19.5">
      <c r="A23" s="384">
        <v>318</v>
      </c>
      <c r="B23" s="284" t="s">
        <v>515</v>
      </c>
      <c r="C23" s="195">
        <v>10601599.796000671</v>
      </c>
      <c r="D23" s="195">
        <v>195960.31919656531</v>
      </c>
      <c r="E23" s="195">
        <v>618270.46874689043</v>
      </c>
      <c r="F23" s="195">
        <v>16163.688687258687</v>
      </c>
      <c r="G23" s="181">
        <v>11431994.272631386</v>
      </c>
      <c r="H23" s="283">
        <v>4200</v>
      </c>
      <c r="I23" s="81" t="s">
        <v>250</v>
      </c>
      <c r="J23" s="256">
        <f t="shared" si="5"/>
        <v>2721.903398245568</v>
      </c>
      <c r="K23" s="407">
        <v>11373915.522065157</v>
      </c>
      <c r="L23" s="408">
        <v>799116.37857751572</v>
      </c>
      <c r="M23" s="408">
        <v>774395.26270456496</v>
      </c>
      <c r="N23" s="408">
        <v>17791.653617571057</v>
      </c>
      <c r="O23" s="266">
        <f t="shared" si="6"/>
        <v>12965218.816964807</v>
      </c>
      <c r="P23" s="283">
        <v>4400</v>
      </c>
      <c r="Q23" s="81" t="s">
        <v>250</v>
      </c>
      <c r="R23" s="82">
        <f t="shared" si="7"/>
        <v>2946.6406402192742</v>
      </c>
      <c r="S23" s="113">
        <f t="shared" si="0"/>
        <v>13.41169797472709</v>
      </c>
      <c r="T23" s="109">
        <f t="shared" si="1"/>
        <v>4.7619047619047619</v>
      </c>
      <c r="U23" s="110">
        <f t="shared" si="2"/>
        <v>8.2566207940576799</v>
      </c>
      <c r="V23" s="24">
        <f t="shared" si="3"/>
        <v>1533224.5443334207</v>
      </c>
      <c r="W23" s="401">
        <f t="shared" si="4"/>
        <v>13.41169797472709</v>
      </c>
      <c r="X23" s="226">
        <f t="shared" si="8"/>
        <v>1.5332245443334207</v>
      </c>
      <c r="Y23" s="226"/>
      <c r="Z23" s="226"/>
      <c r="AA23" s="226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5" ht="19.5">
      <c r="A24" s="384">
        <v>319</v>
      </c>
      <c r="B24" s="284" t="s">
        <v>516</v>
      </c>
      <c r="C24" s="195">
        <v>38216246.813380986</v>
      </c>
      <c r="D24" s="195">
        <v>780356.0964230604</v>
      </c>
      <c r="E24" s="195">
        <v>1846875.5074739316</v>
      </c>
      <c r="F24" s="195">
        <v>228686.06764251646</v>
      </c>
      <c r="G24" s="181">
        <v>41072164.484920494</v>
      </c>
      <c r="H24" s="283">
        <v>51</v>
      </c>
      <c r="I24" s="81" t="s">
        <v>253</v>
      </c>
      <c r="J24" s="256">
        <f t="shared" si="5"/>
        <v>805336.55852785287</v>
      </c>
      <c r="K24" s="407">
        <v>41717636.724608496</v>
      </c>
      <c r="L24" s="408">
        <v>2577888.8614480505</v>
      </c>
      <c r="M24" s="408">
        <v>2125963.3606546088</v>
      </c>
      <c r="N24" s="408">
        <v>170780.71157622739</v>
      </c>
      <c r="O24" s="266">
        <f t="shared" si="6"/>
        <v>46592269.658287384</v>
      </c>
      <c r="P24" s="283">
        <v>54</v>
      </c>
      <c r="Q24" s="81" t="s">
        <v>253</v>
      </c>
      <c r="R24" s="82">
        <f t="shared" si="7"/>
        <v>862819.80848680343</v>
      </c>
      <c r="S24" s="113">
        <f t="shared" si="0"/>
        <v>13.440015257519669</v>
      </c>
      <c r="T24" s="109">
        <f t="shared" si="1"/>
        <v>5.8823529411764701</v>
      </c>
      <c r="U24" s="110">
        <f t="shared" si="2"/>
        <v>7.1377921876574639</v>
      </c>
      <c r="V24" s="24">
        <f t="shared" si="3"/>
        <v>5520105.1733668894</v>
      </c>
      <c r="W24" s="401">
        <f t="shared" si="4"/>
        <v>13.440015257519669</v>
      </c>
      <c r="X24" s="226">
        <f t="shared" si="8"/>
        <v>5.5201051733668898</v>
      </c>
      <c r="Y24" s="226"/>
      <c r="Z24" s="226"/>
      <c r="AA24" s="226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19.5">
      <c r="A25" s="384">
        <v>320</v>
      </c>
      <c r="B25" s="63" t="s">
        <v>517</v>
      </c>
      <c r="C25" s="195">
        <v>0</v>
      </c>
      <c r="D25" s="195">
        <v>0</v>
      </c>
      <c r="E25" s="195">
        <v>0</v>
      </c>
      <c r="F25" s="195">
        <v>0</v>
      </c>
      <c r="G25" s="181">
        <v>0</v>
      </c>
      <c r="H25" s="283"/>
      <c r="I25" s="81"/>
      <c r="J25" s="256"/>
      <c r="K25" s="409">
        <v>31646876.425095674</v>
      </c>
      <c r="L25" s="410">
        <v>1839615.7007914954</v>
      </c>
      <c r="M25" s="410">
        <v>1586569.7525596744</v>
      </c>
      <c r="N25" s="410">
        <v>751502.4333064704</v>
      </c>
      <c r="O25" s="266">
        <f t="shared" si="6"/>
        <v>35824564.311753318</v>
      </c>
      <c r="P25" s="283">
        <v>5</v>
      </c>
      <c r="Q25" s="81" t="s">
        <v>547</v>
      </c>
      <c r="R25" s="82">
        <f t="shared" si="7"/>
        <v>7164912.8623506632</v>
      </c>
      <c r="S25" s="113">
        <v>100</v>
      </c>
      <c r="T25" s="109">
        <v>100</v>
      </c>
      <c r="U25" s="110">
        <v>100</v>
      </c>
      <c r="V25" s="24">
        <f t="shared" si="3"/>
        <v>35824564.311753318</v>
      </c>
      <c r="W25" s="401" t="e">
        <f t="shared" si="4"/>
        <v>#DIV/0!</v>
      </c>
      <c r="X25" s="226">
        <f t="shared" si="8"/>
        <v>35.824564311753321</v>
      </c>
      <c r="Y25" s="226"/>
      <c r="Z25" s="226"/>
      <c r="AA25" s="226"/>
    </row>
    <row r="26" spans="1:255" ht="19.5" customHeight="1">
      <c r="A26" s="375"/>
      <c r="B26" s="88" t="s">
        <v>349</v>
      </c>
      <c r="C26" s="97">
        <v>3754384667.8400002</v>
      </c>
      <c r="D26" s="97">
        <v>58267767.379999995</v>
      </c>
      <c r="E26" s="97">
        <v>209208032.91</v>
      </c>
      <c r="F26" s="97">
        <v>1000988461.4300002</v>
      </c>
      <c r="G26" s="97">
        <v>5022848929.5600004</v>
      </c>
      <c r="H26" s="285"/>
      <c r="I26" s="95"/>
      <c r="J26" s="376"/>
      <c r="K26" s="97">
        <f>SUM(K6:K25)</f>
        <v>4291480895.5099998</v>
      </c>
      <c r="L26" s="97">
        <f t="shared" ref="L26:N26" si="9">SUM(L6:L25)</f>
        <v>150114579.25000003</v>
      </c>
      <c r="M26" s="97">
        <f t="shared" si="9"/>
        <v>518142128.99999994</v>
      </c>
      <c r="N26" s="97">
        <f t="shared" si="9"/>
        <v>1085339143.1900005</v>
      </c>
      <c r="O26" s="97">
        <f>SUM(O6:O25)</f>
        <v>6045076746.9500008</v>
      </c>
      <c r="P26" s="377"/>
      <c r="Q26" s="95"/>
      <c r="R26" s="373"/>
      <c r="V26" s="226"/>
      <c r="W26" s="226"/>
      <c r="X26" s="226"/>
      <c r="Y26" s="226"/>
      <c r="Z26" s="226"/>
      <c r="AA26" s="226"/>
    </row>
    <row r="27" spans="1:255" s="198" customFormat="1" ht="24" customHeight="1">
      <c r="A27" s="378">
        <v>888</v>
      </c>
      <c r="B27" s="655" t="s">
        <v>432</v>
      </c>
      <c r="C27" s="213">
        <v>-5.4569682106375694E-11</v>
      </c>
      <c r="D27" s="213">
        <v>119466856.14</v>
      </c>
      <c r="E27" s="213">
        <v>342708502.08000004</v>
      </c>
      <c r="F27" s="213">
        <v>0</v>
      </c>
      <c r="G27" s="214">
        <v>462175358.22000003</v>
      </c>
      <c r="H27" s="752">
        <v>77</v>
      </c>
      <c r="I27" s="212" t="s">
        <v>251</v>
      </c>
      <c r="J27" s="379">
        <v>6002277.3794805203</v>
      </c>
      <c r="K27" s="566">
        <v>0</v>
      </c>
      <c r="L27" s="372">
        <v>207323913.97000003</v>
      </c>
      <c r="M27" s="372">
        <v>7970530696.6699991</v>
      </c>
      <c r="N27" s="372">
        <v>0</v>
      </c>
      <c r="O27" s="97">
        <f>SUM(K27:N27)</f>
        <v>8177854610.6399994</v>
      </c>
      <c r="P27" s="753">
        <v>77</v>
      </c>
      <c r="Q27" s="567" t="s">
        <v>251</v>
      </c>
      <c r="R27" s="568">
        <v>6002277.3794805203</v>
      </c>
      <c r="S27" s="569"/>
      <c r="T27" s="569"/>
      <c r="U27" s="569"/>
      <c r="V27" s="226"/>
      <c r="W27" s="226"/>
      <c r="X27" s="226"/>
      <c r="Y27" s="226"/>
      <c r="Z27" s="226"/>
      <c r="AA27" s="226"/>
    </row>
    <row r="28" spans="1:255" ht="21.75" customHeight="1" thickBot="1">
      <c r="A28" s="380"/>
      <c r="B28" s="656" t="s">
        <v>350</v>
      </c>
      <c r="C28" s="381">
        <v>3754384667.8400002</v>
      </c>
      <c r="D28" s="381">
        <v>177734623.51999998</v>
      </c>
      <c r="E28" s="381">
        <v>551916534.99000001</v>
      </c>
      <c r="F28" s="381">
        <v>1000988461.4300002</v>
      </c>
      <c r="G28" s="381">
        <v>5485024287.7800007</v>
      </c>
      <c r="H28" s="754"/>
      <c r="I28" s="382"/>
      <c r="J28" s="383"/>
      <c r="K28" s="381">
        <f>SUM(K26:K27)</f>
        <v>4291480895.5099998</v>
      </c>
      <c r="L28" s="381">
        <f t="shared" ref="L28:N28" si="10">SUM(L26:L27)</f>
        <v>357438493.22000003</v>
      </c>
      <c r="M28" s="381">
        <f t="shared" si="10"/>
        <v>8488672825.6699991</v>
      </c>
      <c r="N28" s="381">
        <f t="shared" si="10"/>
        <v>1085339143.1900005</v>
      </c>
      <c r="O28" s="381">
        <f>O26+O27</f>
        <v>14222931357.59</v>
      </c>
      <c r="P28" s="754"/>
      <c r="Q28" s="382"/>
      <c r="R28" s="374"/>
      <c r="S28" s="197"/>
      <c r="T28" s="197"/>
      <c r="U28" s="197"/>
      <c r="V28" s="226"/>
      <c r="W28" s="226"/>
      <c r="X28" s="226"/>
      <c r="Y28" s="226"/>
      <c r="Z28" s="226"/>
      <c r="AA28" s="226"/>
    </row>
    <row r="30" spans="1:255" ht="21">
      <c r="A30" s="39"/>
      <c r="K30" s="215"/>
      <c r="L30" s="215"/>
      <c r="M30" s="215"/>
      <c r="N30" s="215"/>
      <c r="O30" s="216"/>
      <c r="P30" s="83"/>
    </row>
    <row r="31" spans="1:255">
      <c r="A31" s="39"/>
      <c r="K31" s="215"/>
      <c r="L31" s="215"/>
      <c r="M31" s="215"/>
      <c r="N31" s="215"/>
      <c r="O31" s="215"/>
      <c r="P31" s="83"/>
    </row>
    <row r="32" spans="1:255" ht="26.25">
      <c r="A32" s="39"/>
      <c r="B32" s="565"/>
      <c r="P32" s="83"/>
    </row>
    <row r="33" spans="1:16">
      <c r="A33" s="39"/>
      <c r="P33" s="83"/>
    </row>
  </sheetData>
  <mergeCells count="7">
    <mergeCell ref="C4:J4"/>
    <mergeCell ref="K4:R4"/>
    <mergeCell ref="S4:U4"/>
    <mergeCell ref="A1:U1"/>
    <mergeCell ref="A2:U2"/>
    <mergeCell ref="A4:A5"/>
    <mergeCell ref="B4:B5"/>
  </mergeCells>
  <pageMargins left="0.15748031496062992" right="0.1574803149606299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3</vt:i4>
      </vt:variant>
    </vt:vector>
  </HeadingPairs>
  <TitlesOfParts>
    <vt:vector size="16" baseType="lpstr">
      <vt:lpstr>ตารางที่1</vt:lpstr>
      <vt:lpstr>หมายเหตุ</vt:lpstr>
      <vt:lpstr>ตารางที่ 2</vt:lpstr>
      <vt:lpstr>ตารางที่ 3</vt:lpstr>
      <vt:lpstr>ตารางที่4</vt:lpstr>
      <vt:lpstr>ตารางที่ 5</vt:lpstr>
      <vt:lpstr>ตารางที่6 </vt:lpstr>
      <vt:lpstr>ตารางที่7</vt:lpstr>
      <vt:lpstr>ตารางที่8</vt:lpstr>
      <vt:lpstr>ตารางที่9</vt:lpstr>
      <vt:lpstr>ตารางที่10</vt:lpstr>
      <vt:lpstr>ตารางที่11</vt:lpstr>
      <vt:lpstr>ตารางที่12</vt:lpstr>
      <vt:lpstr>'ตารางที่ 2'!Print_Titles</vt:lpstr>
      <vt:lpstr>'ตารางที่ 3'!Print_Titles</vt:lpstr>
      <vt:lpstr>ตารางที่11!Print_Titles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waew</dc:creator>
  <cp:lastModifiedBy>URAI</cp:lastModifiedBy>
  <cp:lastPrinted>2017-03-30T06:21:53Z</cp:lastPrinted>
  <dcterms:created xsi:type="dcterms:W3CDTF">2012-09-26T01:37:31Z</dcterms:created>
  <dcterms:modified xsi:type="dcterms:W3CDTF">2017-04-05T08:33:04Z</dcterms:modified>
</cp:coreProperties>
</file>